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5" i="1" l="1"/>
  <c r="F645" i="1"/>
  <c r="K644" i="1"/>
  <c r="F644" i="1"/>
  <c r="K643" i="1"/>
  <c r="F643" i="1"/>
  <c r="K642" i="1"/>
  <c r="F642" i="1"/>
  <c r="K641" i="1"/>
  <c r="F641" i="1"/>
  <c r="K640" i="1"/>
  <c r="F640" i="1"/>
  <c r="K639" i="1"/>
  <c r="F639" i="1"/>
  <c r="K638" i="1"/>
  <c r="F638" i="1"/>
  <c r="K637" i="1"/>
  <c r="F637" i="1"/>
  <c r="K636" i="1"/>
  <c r="F636" i="1"/>
  <c r="K635" i="1"/>
  <c r="F635" i="1"/>
  <c r="K634" i="1"/>
  <c r="F634" i="1"/>
  <c r="K633" i="1"/>
  <c r="F633" i="1"/>
  <c r="K632" i="1"/>
  <c r="F632" i="1"/>
  <c r="K631" i="1"/>
  <c r="F631" i="1"/>
  <c r="K630" i="1"/>
  <c r="F630" i="1"/>
  <c r="K629" i="1"/>
  <c r="F629" i="1"/>
  <c r="K628" i="1"/>
  <c r="F628" i="1"/>
  <c r="K627" i="1"/>
  <c r="F627" i="1"/>
  <c r="K626" i="1"/>
  <c r="F626" i="1"/>
  <c r="K625" i="1"/>
  <c r="F625" i="1"/>
  <c r="K624" i="1"/>
  <c r="F624" i="1"/>
  <c r="K623" i="1"/>
  <c r="F623" i="1"/>
  <c r="K622" i="1"/>
  <c r="F622" i="1"/>
  <c r="K621" i="1"/>
  <c r="F621" i="1"/>
  <c r="K620" i="1"/>
  <c r="F620" i="1"/>
  <c r="K619" i="1"/>
  <c r="F619" i="1"/>
  <c r="K618" i="1"/>
  <c r="F618" i="1"/>
  <c r="K617" i="1"/>
  <c r="F617" i="1"/>
  <c r="K616" i="1"/>
  <c r="F616" i="1"/>
  <c r="K615" i="1"/>
  <c r="F615" i="1"/>
  <c r="K614" i="1"/>
  <c r="F614" i="1"/>
  <c r="K613" i="1"/>
  <c r="F613" i="1"/>
  <c r="K612" i="1"/>
  <c r="F612" i="1"/>
  <c r="K611" i="1"/>
  <c r="F611" i="1"/>
  <c r="K610" i="1"/>
  <c r="F610" i="1"/>
  <c r="K609" i="1"/>
  <c r="F609" i="1"/>
  <c r="K608" i="1"/>
  <c r="F608" i="1"/>
  <c r="K607" i="1"/>
  <c r="F607" i="1"/>
  <c r="K606" i="1"/>
  <c r="F606" i="1"/>
  <c r="K605" i="1"/>
  <c r="F605" i="1"/>
  <c r="K604" i="1"/>
  <c r="F604" i="1"/>
  <c r="K603" i="1"/>
  <c r="F603" i="1"/>
  <c r="K602" i="1"/>
  <c r="F602" i="1"/>
  <c r="K601" i="1"/>
  <c r="F601" i="1"/>
  <c r="K600" i="1"/>
  <c r="F600" i="1"/>
  <c r="K599" i="1"/>
  <c r="F599" i="1"/>
  <c r="K598" i="1"/>
  <c r="F598" i="1"/>
  <c r="K597" i="1"/>
  <c r="F597" i="1"/>
  <c r="K596" i="1"/>
  <c r="F596" i="1"/>
  <c r="K595" i="1"/>
  <c r="F595" i="1"/>
  <c r="K594" i="1"/>
  <c r="F594" i="1"/>
  <c r="K593" i="1"/>
  <c r="F593" i="1"/>
  <c r="K592" i="1"/>
  <c r="F592" i="1"/>
  <c r="K591" i="1"/>
  <c r="F591" i="1"/>
  <c r="K590" i="1"/>
  <c r="F590" i="1"/>
  <c r="K589" i="1"/>
  <c r="F589" i="1"/>
  <c r="K588" i="1"/>
  <c r="F588" i="1"/>
  <c r="K587" i="1"/>
  <c r="F587" i="1"/>
  <c r="K586" i="1"/>
  <c r="F586" i="1"/>
  <c r="K585" i="1"/>
  <c r="F585" i="1"/>
  <c r="K584" i="1"/>
  <c r="F584" i="1"/>
  <c r="K583" i="1"/>
  <c r="F583" i="1"/>
  <c r="K582" i="1"/>
  <c r="F582" i="1"/>
  <c r="K581" i="1"/>
  <c r="F581" i="1"/>
  <c r="K580" i="1"/>
  <c r="F580" i="1"/>
  <c r="K579" i="1"/>
  <c r="F579" i="1"/>
  <c r="K578" i="1"/>
  <c r="F578" i="1"/>
  <c r="K577" i="1"/>
  <c r="F577" i="1"/>
  <c r="K576" i="1"/>
  <c r="F576" i="1"/>
  <c r="K575" i="1"/>
  <c r="F575" i="1"/>
  <c r="K574" i="1"/>
  <c r="F574" i="1"/>
  <c r="K573" i="1"/>
  <c r="F573" i="1"/>
  <c r="K572" i="1"/>
  <c r="F572" i="1"/>
  <c r="K571" i="1"/>
  <c r="F571" i="1"/>
  <c r="K570" i="1"/>
  <c r="F570" i="1"/>
  <c r="K569" i="1"/>
  <c r="E569" i="1"/>
  <c r="F569" i="1" s="1"/>
  <c r="K568" i="1"/>
  <c r="E568" i="1"/>
  <c r="F568" i="1" s="1"/>
  <c r="K567" i="1"/>
  <c r="F567" i="1"/>
  <c r="K566" i="1"/>
  <c r="E566" i="1"/>
  <c r="F566" i="1" s="1"/>
  <c r="K565" i="1"/>
  <c r="E565" i="1"/>
  <c r="F565" i="1" s="1"/>
  <c r="K564" i="1"/>
  <c r="F564" i="1"/>
  <c r="K563" i="1"/>
  <c r="F563" i="1"/>
  <c r="K562" i="1"/>
  <c r="E562" i="1"/>
  <c r="F562" i="1" s="1"/>
  <c r="K561" i="1"/>
  <c r="F561" i="1"/>
  <c r="K560" i="1"/>
  <c r="F560" i="1"/>
  <c r="K559" i="1"/>
  <c r="F559" i="1"/>
  <c r="K558" i="1"/>
  <c r="F558" i="1"/>
  <c r="K557" i="1"/>
  <c r="E557" i="1"/>
  <c r="F557" i="1" s="1"/>
  <c r="K556" i="1"/>
  <c r="E556" i="1"/>
  <c r="F556" i="1" s="1"/>
  <c r="K555" i="1"/>
  <c r="E555" i="1"/>
  <c r="F555" i="1" s="1"/>
  <c r="K554" i="1"/>
  <c r="E554" i="1"/>
  <c r="F554" i="1" s="1"/>
  <c r="K553" i="1"/>
  <c r="E553" i="1"/>
  <c r="F553" i="1" s="1"/>
  <c r="K552" i="1"/>
  <c r="F552" i="1"/>
  <c r="K551" i="1"/>
  <c r="F551" i="1"/>
  <c r="K550" i="1"/>
  <c r="F550" i="1"/>
  <c r="K549" i="1"/>
  <c r="E549" i="1"/>
  <c r="D549" i="1"/>
  <c r="K548" i="1"/>
  <c r="E548" i="1"/>
  <c r="F548" i="1" s="1"/>
  <c r="K547" i="1"/>
  <c r="E547" i="1"/>
  <c r="F547" i="1" s="1"/>
  <c r="K546" i="1"/>
  <c r="E546" i="1"/>
  <c r="F546" i="1" s="1"/>
  <c r="K545" i="1"/>
  <c r="F545" i="1"/>
  <c r="K544" i="1"/>
  <c r="E544" i="1"/>
  <c r="F544" i="1" s="1"/>
  <c r="K543" i="1"/>
  <c r="E543" i="1"/>
  <c r="F543" i="1" s="1"/>
  <c r="K542" i="1"/>
  <c r="E542" i="1"/>
  <c r="F542" i="1" s="1"/>
  <c r="K541" i="1"/>
  <c r="E541" i="1"/>
  <c r="F541" i="1" s="1"/>
  <c r="K540" i="1"/>
  <c r="E540" i="1"/>
  <c r="F540" i="1" s="1"/>
  <c r="K539" i="1"/>
  <c r="F539" i="1"/>
  <c r="K538" i="1"/>
  <c r="E538" i="1"/>
  <c r="F538" i="1" s="1"/>
  <c r="K537" i="1"/>
  <c r="E537" i="1"/>
  <c r="F537" i="1" s="1"/>
  <c r="K536" i="1"/>
  <c r="E536" i="1"/>
  <c r="F536" i="1" s="1"/>
  <c r="K535" i="1"/>
  <c r="E535" i="1"/>
  <c r="F535" i="1" s="1"/>
  <c r="K534" i="1"/>
  <c r="F534" i="1"/>
  <c r="K533" i="1"/>
  <c r="E533" i="1"/>
  <c r="F533" i="1" s="1"/>
  <c r="K532" i="1"/>
  <c r="E532" i="1"/>
  <c r="F532" i="1" s="1"/>
  <c r="K531" i="1"/>
  <c r="E531" i="1"/>
  <c r="F531" i="1" s="1"/>
  <c r="K530" i="1"/>
  <c r="E530" i="1"/>
  <c r="F530" i="1" s="1"/>
  <c r="K529" i="1"/>
  <c r="E529" i="1"/>
  <c r="D529" i="1"/>
  <c r="K528" i="1"/>
  <c r="E528" i="1"/>
  <c r="F528" i="1" s="1"/>
  <c r="K527" i="1"/>
  <c r="E527" i="1"/>
  <c r="F527" i="1" s="1"/>
  <c r="K526" i="1"/>
  <c r="F526" i="1"/>
  <c r="K525" i="1"/>
  <c r="E525" i="1"/>
  <c r="F525" i="1" s="1"/>
  <c r="K524" i="1"/>
  <c r="E524" i="1"/>
  <c r="D524" i="1"/>
  <c r="K523" i="1"/>
  <c r="E523" i="1"/>
  <c r="F523" i="1" s="1"/>
  <c r="K522" i="1"/>
  <c r="E522" i="1"/>
  <c r="F522" i="1" s="1"/>
  <c r="K521" i="1"/>
  <c r="E521" i="1"/>
  <c r="F521" i="1" s="1"/>
  <c r="K520" i="1"/>
  <c r="E520" i="1"/>
  <c r="F520" i="1" s="1"/>
  <c r="K519" i="1"/>
  <c r="E519" i="1"/>
  <c r="F519" i="1" s="1"/>
  <c r="K518" i="1"/>
  <c r="E518" i="1"/>
  <c r="F518" i="1" s="1"/>
  <c r="K517" i="1"/>
  <c r="F517" i="1"/>
  <c r="K516" i="1"/>
  <c r="F516" i="1"/>
  <c r="K515" i="1"/>
  <c r="F515" i="1"/>
  <c r="K514" i="1"/>
  <c r="F514" i="1"/>
  <c r="K513" i="1"/>
  <c r="E513" i="1"/>
  <c r="D513" i="1"/>
  <c r="K512" i="1"/>
  <c r="E512" i="1"/>
  <c r="D512" i="1"/>
  <c r="K511" i="1"/>
  <c r="E511" i="1"/>
  <c r="F511" i="1" s="1"/>
  <c r="K510" i="1"/>
  <c r="E510" i="1"/>
  <c r="F510" i="1" s="1"/>
  <c r="K509" i="1"/>
  <c r="F509" i="1"/>
  <c r="K508" i="1"/>
  <c r="E508" i="1"/>
  <c r="F508" i="1" s="1"/>
  <c r="K507" i="1"/>
  <c r="E507" i="1"/>
  <c r="F507" i="1" s="1"/>
  <c r="K506" i="1"/>
  <c r="E506" i="1"/>
  <c r="F506" i="1" s="1"/>
  <c r="K505" i="1"/>
  <c r="E505" i="1"/>
  <c r="F505" i="1" s="1"/>
  <c r="K504" i="1"/>
  <c r="E504" i="1"/>
  <c r="F504" i="1" s="1"/>
  <c r="K503" i="1"/>
  <c r="E503" i="1"/>
  <c r="F503" i="1" s="1"/>
  <c r="K502" i="1"/>
  <c r="E502" i="1"/>
  <c r="D502" i="1"/>
  <c r="K501" i="1"/>
  <c r="E501" i="1"/>
  <c r="D501" i="1"/>
  <c r="K500" i="1"/>
  <c r="E500" i="1"/>
  <c r="D500" i="1"/>
  <c r="K499" i="1"/>
  <c r="E499" i="1"/>
  <c r="D499" i="1"/>
  <c r="K498" i="1"/>
  <c r="E498" i="1"/>
  <c r="F498" i="1" s="1"/>
  <c r="K497" i="1"/>
  <c r="F497" i="1"/>
  <c r="K496" i="1"/>
  <c r="F496" i="1"/>
  <c r="K495" i="1"/>
  <c r="E495" i="1"/>
  <c r="F495" i="1" s="1"/>
  <c r="K494" i="1"/>
  <c r="E494" i="1"/>
  <c r="F494" i="1" s="1"/>
  <c r="K493" i="1"/>
  <c r="E493" i="1"/>
  <c r="F493" i="1" s="1"/>
  <c r="K492" i="1"/>
  <c r="F492" i="1"/>
  <c r="K491" i="1"/>
  <c r="E491" i="1"/>
  <c r="D491" i="1"/>
  <c r="K490" i="1"/>
  <c r="F490" i="1"/>
  <c r="K489" i="1"/>
  <c r="E489" i="1"/>
  <c r="D489" i="1"/>
  <c r="K488" i="1"/>
  <c r="E488" i="1"/>
  <c r="D488" i="1"/>
  <c r="K487" i="1"/>
  <c r="E487" i="1"/>
  <c r="D487" i="1"/>
  <c r="K486" i="1"/>
  <c r="E486" i="1"/>
  <c r="D486" i="1"/>
  <c r="K485" i="1"/>
  <c r="E485" i="1"/>
  <c r="D485" i="1"/>
  <c r="K484" i="1"/>
  <c r="F484" i="1"/>
  <c r="K483" i="1"/>
  <c r="E483" i="1"/>
  <c r="D483" i="1"/>
  <c r="K482" i="1"/>
  <c r="E482" i="1"/>
  <c r="F482" i="1" s="1"/>
  <c r="K481" i="1"/>
  <c r="E481" i="1"/>
  <c r="F481" i="1" s="1"/>
  <c r="K480" i="1"/>
  <c r="E480" i="1"/>
  <c r="F480" i="1" s="1"/>
  <c r="K479" i="1"/>
  <c r="E479" i="1"/>
  <c r="F479" i="1" s="1"/>
  <c r="K478" i="1"/>
  <c r="E478" i="1"/>
  <c r="F478" i="1" s="1"/>
  <c r="K477" i="1"/>
  <c r="E477" i="1"/>
  <c r="F477" i="1" s="1"/>
  <c r="K476" i="1"/>
  <c r="E476" i="1"/>
  <c r="D476" i="1"/>
  <c r="K475" i="1"/>
  <c r="E475" i="1"/>
  <c r="D475" i="1"/>
  <c r="K474" i="1"/>
  <c r="E474" i="1"/>
  <c r="F474" i="1" s="1"/>
  <c r="K473" i="1"/>
  <c r="E473" i="1"/>
  <c r="D473" i="1"/>
  <c r="K472" i="1"/>
  <c r="E472" i="1"/>
  <c r="D472" i="1"/>
  <c r="K471" i="1"/>
  <c r="E471" i="1"/>
  <c r="D471" i="1"/>
  <c r="K470" i="1"/>
  <c r="E470" i="1"/>
  <c r="F470" i="1" s="1"/>
  <c r="K469" i="1"/>
  <c r="E469" i="1"/>
  <c r="D469" i="1"/>
  <c r="K468" i="1"/>
  <c r="E468" i="1"/>
  <c r="F468" i="1" s="1"/>
  <c r="K467" i="1"/>
  <c r="E467" i="1"/>
  <c r="F467" i="1" s="1"/>
  <c r="K466" i="1"/>
  <c r="E466" i="1"/>
  <c r="F466" i="1" s="1"/>
  <c r="K465" i="1"/>
  <c r="E465" i="1"/>
  <c r="F465" i="1" s="1"/>
  <c r="K464" i="1"/>
  <c r="E464" i="1"/>
  <c r="F464" i="1" s="1"/>
  <c r="K463" i="1"/>
  <c r="E463" i="1"/>
  <c r="F463" i="1" s="1"/>
  <c r="K462" i="1"/>
  <c r="E462" i="1"/>
  <c r="F462" i="1" s="1"/>
  <c r="K461" i="1"/>
  <c r="E461" i="1"/>
  <c r="F461" i="1" s="1"/>
  <c r="K460" i="1"/>
  <c r="E460" i="1"/>
  <c r="D460" i="1"/>
  <c r="K459" i="1"/>
  <c r="E459" i="1"/>
  <c r="D459" i="1"/>
  <c r="K458" i="1"/>
  <c r="E458" i="1"/>
  <c r="F458" i="1" s="1"/>
  <c r="K457" i="1"/>
  <c r="E457" i="1"/>
  <c r="F457" i="1" s="1"/>
  <c r="K456" i="1"/>
  <c r="E456" i="1"/>
  <c r="F456" i="1" s="1"/>
  <c r="K455" i="1"/>
  <c r="E455" i="1"/>
  <c r="F455" i="1" s="1"/>
  <c r="K454" i="1"/>
  <c r="E454" i="1"/>
  <c r="F454" i="1" s="1"/>
  <c r="K453" i="1"/>
  <c r="E453" i="1"/>
  <c r="D453" i="1"/>
  <c r="K452" i="1"/>
  <c r="F452" i="1"/>
  <c r="K451" i="1"/>
  <c r="E451" i="1"/>
  <c r="D451" i="1"/>
  <c r="K450" i="1"/>
  <c r="E450" i="1"/>
  <c r="D450" i="1"/>
  <c r="K449" i="1"/>
  <c r="E449" i="1"/>
  <c r="F449" i="1" s="1"/>
  <c r="K448" i="1"/>
  <c r="E448" i="1"/>
  <c r="F448" i="1" s="1"/>
  <c r="K447" i="1"/>
  <c r="E447" i="1"/>
  <c r="D447" i="1"/>
  <c r="K446" i="1"/>
  <c r="E446" i="1"/>
  <c r="F446" i="1" s="1"/>
  <c r="K445" i="1"/>
  <c r="E445" i="1"/>
  <c r="D445" i="1"/>
  <c r="K444" i="1"/>
  <c r="E444" i="1"/>
  <c r="F444" i="1" s="1"/>
  <c r="K443" i="1"/>
  <c r="E443" i="1"/>
  <c r="F443" i="1" s="1"/>
  <c r="K442" i="1"/>
  <c r="E442" i="1"/>
  <c r="D442" i="1"/>
  <c r="K441" i="1"/>
  <c r="E441" i="1"/>
  <c r="D441" i="1"/>
  <c r="K440" i="1"/>
  <c r="E440" i="1"/>
  <c r="F440" i="1" s="1"/>
  <c r="K439" i="1"/>
  <c r="E439" i="1"/>
  <c r="F439" i="1" s="1"/>
  <c r="K438" i="1"/>
  <c r="E438" i="1"/>
  <c r="F438" i="1" s="1"/>
  <c r="K437" i="1"/>
  <c r="E437" i="1"/>
  <c r="F437" i="1" s="1"/>
  <c r="K436" i="1"/>
  <c r="E436" i="1"/>
  <c r="D436" i="1"/>
  <c r="K435" i="1"/>
  <c r="E435" i="1"/>
  <c r="D435" i="1"/>
  <c r="K434" i="1"/>
  <c r="E434" i="1"/>
  <c r="F434" i="1" s="1"/>
  <c r="K433" i="1"/>
  <c r="E433" i="1"/>
  <c r="F433" i="1" s="1"/>
  <c r="K432" i="1"/>
  <c r="E432" i="1"/>
  <c r="F432" i="1" s="1"/>
  <c r="K431" i="1"/>
  <c r="E431" i="1"/>
  <c r="F431" i="1" s="1"/>
  <c r="K430" i="1"/>
  <c r="F430" i="1"/>
  <c r="K429" i="1"/>
  <c r="E429" i="1"/>
  <c r="F429" i="1" s="1"/>
  <c r="K428" i="1"/>
  <c r="E428" i="1"/>
  <c r="F428" i="1" s="1"/>
  <c r="K427" i="1"/>
  <c r="E427" i="1"/>
  <c r="F427" i="1" s="1"/>
  <c r="K426" i="1"/>
  <c r="E426" i="1"/>
  <c r="F426" i="1" s="1"/>
  <c r="K425" i="1"/>
  <c r="E425" i="1"/>
  <c r="F425" i="1" s="1"/>
  <c r="K424" i="1"/>
  <c r="E424" i="1"/>
  <c r="F424" i="1" s="1"/>
  <c r="K423" i="1"/>
  <c r="E423" i="1"/>
  <c r="F423" i="1" s="1"/>
  <c r="K422" i="1"/>
  <c r="E422" i="1"/>
  <c r="F422" i="1" s="1"/>
  <c r="K421" i="1"/>
  <c r="E421" i="1"/>
  <c r="F421" i="1" s="1"/>
  <c r="K420" i="1"/>
  <c r="E420" i="1"/>
  <c r="F420" i="1" s="1"/>
  <c r="K419" i="1"/>
  <c r="E419" i="1"/>
  <c r="F419" i="1" s="1"/>
  <c r="K418" i="1"/>
  <c r="E418" i="1"/>
  <c r="F418" i="1" s="1"/>
  <c r="K417" i="1"/>
  <c r="E417" i="1"/>
  <c r="D417" i="1"/>
  <c r="K416" i="1"/>
  <c r="E416" i="1"/>
  <c r="F416" i="1" s="1"/>
  <c r="K415" i="1"/>
  <c r="E415" i="1"/>
  <c r="D415" i="1"/>
  <c r="K414" i="1"/>
  <c r="E414" i="1"/>
  <c r="D414" i="1"/>
  <c r="K413" i="1"/>
  <c r="E413" i="1"/>
  <c r="D413" i="1"/>
  <c r="K412" i="1"/>
  <c r="E412" i="1"/>
  <c r="D412" i="1"/>
  <c r="K411" i="1"/>
  <c r="F411" i="1"/>
  <c r="K410" i="1"/>
  <c r="E410" i="1"/>
  <c r="D410" i="1"/>
  <c r="K409" i="1"/>
  <c r="E409" i="1"/>
  <c r="D409" i="1"/>
  <c r="K408" i="1"/>
  <c r="E408" i="1"/>
  <c r="F408" i="1" s="1"/>
  <c r="K407" i="1"/>
  <c r="E407" i="1"/>
  <c r="F407" i="1" s="1"/>
  <c r="K406" i="1"/>
  <c r="E406" i="1"/>
  <c r="F406" i="1" s="1"/>
  <c r="K405" i="1"/>
  <c r="E405" i="1"/>
  <c r="F405" i="1" s="1"/>
  <c r="K404" i="1"/>
  <c r="E404" i="1"/>
  <c r="F404" i="1" s="1"/>
  <c r="K403" i="1"/>
  <c r="E403" i="1"/>
  <c r="F403" i="1" s="1"/>
  <c r="K402" i="1"/>
  <c r="E402" i="1"/>
  <c r="F402" i="1" s="1"/>
  <c r="K401" i="1"/>
  <c r="E401" i="1"/>
  <c r="F401" i="1" s="1"/>
  <c r="K400" i="1"/>
  <c r="E400" i="1"/>
  <c r="D400" i="1"/>
  <c r="K399" i="1"/>
  <c r="E399" i="1"/>
  <c r="F399" i="1" s="1"/>
  <c r="K398" i="1"/>
  <c r="E398" i="1"/>
  <c r="D398" i="1"/>
  <c r="K397" i="1"/>
  <c r="E397" i="1"/>
  <c r="F397" i="1" s="1"/>
  <c r="K396" i="1"/>
  <c r="E396" i="1"/>
  <c r="F396" i="1" s="1"/>
  <c r="K395" i="1"/>
  <c r="E395" i="1"/>
  <c r="F395" i="1" s="1"/>
  <c r="K394" i="1"/>
  <c r="E394" i="1"/>
  <c r="F394" i="1" s="1"/>
  <c r="K393" i="1"/>
  <c r="E393" i="1"/>
  <c r="F393" i="1" s="1"/>
  <c r="K392" i="1"/>
  <c r="E392" i="1"/>
  <c r="F392" i="1" s="1"/>
  <c r="K391" i="1"/>
  <c r="E391" i="1"/>
  <c r="F391" i="1" s="1"/>
  <c r="K390" i="1"/>
  <c r="E390" i="1"/>
  <c r="F390" i="1" s="1"/>
  <c r="K389" i="1"/>
  <c r="F389" i="1"/>
  <c r="K388" i="1"/>
  <c r="E388" i="1"/>
  <c r="F388" i="1" s="1"/>
  <c r="K387" i="1"/>
  <c r="E387" i="1"/>
  <c r="F387" i="1" s="1"/>
  <c r="K386" i="1"/>
  <c r="E386" i="1"/>
  <c r="F386" i="1" s="1"/>
  <c r="K385" i="1"/>
  <c r="E385" i="1"/>
  <c r="F385" i="1" s="1"/>
  <c r="K384" i="1"/>
  <c r="E384" i="1"/>
  <c r="F384" i="1" s="1"/>
  <c r="K383" i="1"/>
  <c r="E383" i="1"/>
  <c r="F383" i="1" s="1"/>
  <c r="K382" i="1"/>
  <c r="E382" i="1"/>
  <c r="D382" i="1"/>
  <c r="K381" i="1"/>
  <c r="E381" i="1"/>
  <c r="F381" i="1" s="1"/>
  <c r="K380" i="1"/>
  <c r="F380" i="1"/>
  <c r="K379" i="1"/>
  <c r="E379" i="1"/>
  <c r="F379" i="1" s="1"/>
  <c r="K378" i="1"/>
  <c r="E378" i="1"/>
  <c r="F378" i="1" s="1"/>
  <c r="K377" i="1"/>
  <c r="E377" i="1"/>
  <c r="F377" i="1" s="1"/>
  <c r="K376" i="1"/>
  <c r="E376" i="1"/>
  <c r="F376" i="1" s="1"/>
  <c r="K375" i="1"/>
  <c r="E375" i="1"/>
  <c r="F375" i="1" s="1"/>
  <c r="K374" i="1"/>
  <c r="E374" i="1"/>
  <c r="F374" i="1" s="1"/>
  <c r="K373" i="1"/>
  <c r="E373" i="1"/>
  <c r="F373" i="1" s="1"/>
  <c r="K372" i="1"/>
  <c r="E372" i="1"/>
  <c r="F372" i="1" s="1"/>
  <c r="K371" i="1"/>
  <c r="E371" i="1"/>
  <c r="D371" i="1"/>
  <c r="K370" i="1"/>
  <c r="E370" i="1"/>
  <c r="D370" i="1"/>
  <c r="K369" i="1"/>
  <c r="E369" i="1"/>
  <c r="D369" i="1"/>
  <c r="K368" i="1"/>
  <c r="E368" i="1"/>
  <c r="D368" i="1"/>
  <c r="K367" i="1"/>
  <c r="E367" i="1"/>
  <c r="D367" i="1"/>
  <c r="K366" i="1"/>
  <c r="E366" i="1"/>
  <c r="D366" i="1"/>
  <c r="K365" i="1"/>
  <c r="E365" i="1"/>
  <c r="F365" i="1" s="1"/>
  <c r="K364" i="1"/>
  <c r="F364" i="1"/>
  <c r="K363" i="1"/>
  <c r="E363" i="1"/>
  <c r="F363" i="1" s="1"/>
  <c r="K362" i="1"/>
  <c r="E362" i="1"/>
  <c r="F362" i="1" s="1"/>
  <c r="K361" i="1"/>
  <c r="E361" i="1"/>
  <c r="F361" i="1" s="1"/>
  <c r="K360" i="1"/>
  <c r="E360" i="1"/>
  <c r="D360" i="1"/>
  <c r="K359" i="1"/>
  <c r="E359" i="1"/>
  <c r="F359" i="1" s="1"/>
  <c r="K358" i="1"/>
  <c r="E358" i="1"/>
  <c r="F358" i="1" s="1"/>
  <c r="K357" i="1"/>
  <c r="E357" i="1"/>
  <c r="F357" i="1" s="1"/>
  <c r="K356" i="1"/>
  <c r="E356" i="1"/>
  <c r="F356" i="1" s="1"/>
  <c r="K355" i="1"/>
  <c r="E355" i="1"/>
  <c r="F355" i="1" s="1"/>
  <c r="K354" i="1"/>
  <c r="E354" i="1"/>
  <c r="F354" i="1" s="1"/>
  <c r="K353" i="1"/>
  <c r="E353" i="1"/>
  <c r="F353" i="1" s="1"/>
  <c r="K352" i="1"/>
  <c r="E352" i="1"/>
  <c r="F352" i="1" s="1"/>
  <c r="K351" i="1"/>
  <c r="E351" i="1"/>
  <c r="F351" i="1" s="1"/>
  <c r="K350" i="1"/>
  <c r="E350" i="1"/>
  <c r="F350" i="1" s="1"/>
  <c r="K349" i="1"/>
  <c r="E349" i="1"/>
  <c r="F349" i="1" s="1"/>
  <c r="K348" i="1"/>
  <c r="E348" i="1"/>
  <c r="F348" i="1" s="1"/>
  <c r="K347" i="1"/>
  <c r="E347" i="1"/>
  <c r="F347" i="1" s="1"/>
  <c r="K346" i="1"/>
  <c r="E346" i="1"/>
  <c r="F346" i="1" s="1"/>
  <c r="K345" i="1"/>
  <c r="E345" i="1"/>
  <c r="F345" i="1" s="1"/>
  <c r="K344" i="1"/>
  <c r="E344" i="1"/>
  <c r="F344" i="1" s="1"/>
  <c r="K343" i="1"/>
  <c r="E343" i="1"/>
  <c r="F343" i="1" s="1"/>
  <c r="K342" i="1"/>
  <c r="E342" i="1"/>
  <c r="F342" i="1" s="1"/>
  <c r="K341" i="1"/>
  <c r="F341" i="1"/>
  <c r="K340" i="1"/>
  <c r="E340" i="1"/>
  <c r="F340" i="1" s="1"/>
  <c r="K339" i="1"/>
  <c r="E339" i="1"/>
  <c r="D339" i="1"/>
  <c r="K338" i="1"/>
  <c r="E338" i="1"/>
  <c r="D338" i="1"/>
  <c r="K337" i="1"/>
  <c r="E337" i="1"/>
  <c r="F337" i="1" s="1"/>
  <c r="K336" i="1"/>
  <c r="E336" i="1"/>
  <c r="F336" i="1" s="1"/>
  <c r="K335" i="1"/>
  <c r="E335" i="1"/>
  <c r="F335" i="1" s="1"/>
  <c r="K334" i="1"/>
  <c r="E334" i="1"/>
  <c r="F334" i="1" s="1"/>
  <c r="K333" i="1"/>
  <c r="E333" i="1"/>
  <c r="F333" i="1" s="1"/>
  <c r="K332" i="1"/>
  <c r="E332" i="1"/>
  <c r="F332" i="1" s="1"/>
  <c r="K331" i="1"/>
  <c r="E331" i="1"/>
  <c r="F331" i="1" s="1"/>
  <c r="K330" i="1"/>
  <c r="E330" i="1"/>
  <c r="F330" i="1" s="1"/>
  <c r="K329" i="1"/>
  <c r="E329" i="1"/>
  <c r="D329" i="1"/>
  <c r="K328" i="1"/>
  <c r="E328" i="1"/>
  <c r="D328" i="1"/>
  <c r="K327" i="1"/>
  <c r="E327" i="1"/>
  <c r="F327" i="1" s="1"/>
  <c r="K326" i="1"/>
  <c r="E326" i="1"/>
  <c r="D326" i="1"/>
  <c r="K325" i="1"/>
  <c r="E325" i="1"/>
  <c r="F325" i="1" s="1"/>
  <c r="K324" i="1"/>
  <c r="E324" i="1"/>
  <c r="F324" i="1" s="1"/>
  <c r="K323" i="1"/>
  <c r="E323" i="1"/>
  <c r="F323" i="1" s="1"/>
  <c r="K322" i="1"/>
  <c r="E322" i="1"/>
  <c r="F322" i="1" s="1"/>
  <c r="K321" i="1"/>
  <c r="E321" i="1"/>
  <c r="F321" i="1" s="1"/>
  <c r="K320" i="1"/>
  <c r="E320" i="1"/>
  <c r="F320" i="1" s="1"/>
  <c r="K319" i="1"/>
  <c r="E319" i="1"/>
  <c r="D319" i="1"/>
  <c r="K318" i="1"/>
  <c r="F318" i="1"/>
  <c r="K317" i="1"/>
  <c r="E317" i="1"/>
  <c r="F317" i="1" s="1"/>
  <c r="K316" i="1"/>
  <c r="E316" i="1"/>
  <c r="F316" i="1" s="1"/>
  <c r="K315" i="1"/>
  <c r="E315" i="1"/>
  <c r="F315" i="1" s="1"/>
  <c r="K314" i="1"/>
  <c r="E314" i="1"/>
  <c r="F314" i="1" s="1"/>
  <c r="K313" i="1"/>
  <c r="E313" i="1"/>
  <c r="F313" i="1" s="1"/>
  <c r="K312" i="1"/>
  <c r="E312" i="1"/>
  <c r="F312" i="1" s="1"/>
  <c r="K311" i="1"/>
  <c r="E311" i="1"/>
  <c r="F311" i="1" s="1"/>
  <c r="K310" i="1"/>
  <c r="E310" i="1"/>
  <c r="F310" i="1" s="1"/>
  <c r="K309" i="1"/>
  <c r="E309" i="1"/>
  <c r="F309" i="1" s="1"/>
  <c r="K308" i="1"/>
  <c r="E308" i="1"/>
  <c r="F308" i="1" s="1"/>
  <c r="K307" i="1"/>
  <c r="E307" i="1"/>
  <c r="F307" i="1" s="1"/>
  <c r="K306" i="1"/>
  <c r="E306" i="1"/>
  <c r="F306" i="1" s="1"/>
  <c r="K305" i="1"/>
  <c r="E305" i="1"/>
  <c r="F305" i="1" s="1"/>
  <c r="K304" i="1"/>
  <c r="E304" i="1"/>
  <c r="D304" i="1"/>
  <c r="K303" i="1"/>
  <c r="E303" i="1"/>
  <c r="D303" i="1"/>
  <c r="K302" i="1"/>
  <c r="E302" i="1"/>
  <c r="F302" i="1" s="1"/>
  <c r="K301" i="1"/>
  <c r="E301" i="1"/>
  <c r="F301" i="1" s="1"/>
  <c r="K300" i="1"/>
  <c r="E300" i="1"/>
  <c r="F300" i="1" s="1"/>
  <c r="K299" i="1"/>
  <c r="E299" i="1"/>
  <c r="F299" i="1" s="1"/>
  <c r="K298" i="1"/>
  <c r="E298" i="1"/>
  <c r="F298" i="1" s="1"/>
  <c r="K297" i="1"/>
  <c r="E297" i="1"/>
  <c r="F297" i="1" s="1"/>
  <c r="K296" i="1"/>
  <c r="E296" i="1"/>
  <c r="F296" i="1" s="1"/>
  <c r="K295" i="1"/>
  <c r="E295" i="1"/>
  <c r="D295" i="1"/>
  <c r="K294" i="1"/>
  <c r="E294" i="1"/>
  <c r="D294" i="1"/>
  <c r="K293" i="1"/>
  <c r="E293" i="1"/>
  <c r="F293" i="1" s="1"/>
  <c r="K292" i="1"/>
  <c r="E292" i="1"/>
  <c r="F292" i="1" s="1"/>
  <c r="K291" i="1"/>
  <c r="E291" i="1"/>
  <c r="F291" i="1" s="1"/>
  <c r="K290" i="1"/>
  <c r="E290" i="1"/>
  <c r="F290" i="1" s="1"/>
  <c r="K289" i="1"/>
  <c r="E289" i="1"/>
  <c r="F289" i="1" s="1"/>
  <c r="K288" i="1"/>
  <c r="E288" i="1"/>
  <c r="D288" i="1"/>
  <c r="K287" i="1"/>
  <c r="E287" i="1"/>
  <c r="D287" i="1"/>
  <c r="K286" i="1"/>
  <c r="E286" i="1"/>
  <c r="F286" i="1" s="1"/>
  <c r="K285" i="1"/>
  <c r="E285" i="1"/>
  <c r="D285" i="1"/>
  <c r="K284" i="1"/>
  <c r="E284" i="1"/>
  <c r="F284" i="1" s="1"/>
  <c r="K283" i="1"/>
  <c r="E283" i="1"/>
  <c r="F283" i="1" s="1"/>
  <c r="K282" i="1"/>
  <c r="E282" i="1"/>
  <c r="F282" i="1" s="1"/>
  <c r="K281" i="1"/>
  <c r="E281" i="1"/>
  <c r="F281" i="1" s="1"/>
  <c r="K280" i="1"/>
  <c r="E280" i="1"/>
  <c r="D280" i="1"/>
  <c r="K279" i="1"/>
  <c r="E279" i="1"/>
  <c r="D279" i="1"/>
  <c r="K278" i="1"/>
  <c r="E278" i="1"/>
  <c r="F278" i="1" s="1"/>
  <c r="K277" i="1"/>
  <c r="E277" i="1"/>
  <c r="F277" i="1" s="1"/>
  <c r="K276" i="1"/>
  <c r="E276" i="1"/>
  <c r="F276" i="1" s="1"/>
  <c r="K275" i="1"/>
  <c r="E275" i="1"/>
  <c r="D275" i="1"/>
  <c r="K274" i="1"/>
  <c r="E274" i="1"/>
  <c r="D274" i="1"/>
  <c r="K273" i="1"/>
  <c r="E273" i="1"/>
  <c r="D273" i="1"/>
  <c r="K272" i="1"/>
  <c r="E272" i="1"/>
  <c r="D272" i="1"/>
  <c r="K271" i="1"/>
  <c r="E271" i="1"/>
  <c r="D271" i="1"/>
  <c r="K270" i="1"/>
  <c r="E270" i="1"/>
  <c r="D270" i="1"/>
  <c r="K269" i="1"/>
  <c r="E269" i="1"/>
  <c r="F269" i="1" s="1"/>
  <c r="K268" i="1"/>
  <c r="E268" i="1"/>
  <c r="F268" i="1" s="1"/>
  <c r="K267" i="1"/>
  <c r="E267" i="1"/>
  <c r="F267" i="1" s="1"/>
  <c r="K266" i="1"/>
  <c r="E266" i="1"/>
  <c r="D266" i="1"/>
  <c r="K265" i="1"/>
  <c r="E265" i="1"/>
  <c r="D265" i="1"/>
  <c r="K264" i="1"/>
  <c r="E264" i="1"/>
  <c r="D264" i="1"/>
  <c r="K263" i="1"/>
  <c r="E263" i="1"/>
  <c r="D263" i="1"/>
  <c r="K262" i="1"/>
  <c r="E262" i="1"/>
  <c r="F262" i="1" s="1"/>
  <c r="K261" i="1"/>
  <c r="E261" i="1"/>
  <c r="F261" i="1" s="1"/>
  <c r="K260" i="1"/>
  <c r="E260" i="1"/>
  <c r="F260" i="1" s="1"/>
  <c r="K259" i="1"/>
  <c r="E259" i="1"/>
  <c r="F259" i="1" s="1"/>
  <c r="K258" i="1"/>
  <c r="E258" i="1"/>
  <c r="F258" i="1" s="1"/>
  <c r="K257" i="1"/>
  <c r="E257" i="1"/>
  <c r="F257" i="1" s="1"/>
  <c r="K256" i="1"/>
  <c r="E256" i="1"/>
  <c r="D256" i="1"/>
  <c r="K255" i="1"/>
  <c r="E255" i="1"/>
  <c r="F255" i="1" s="1"/>
  <c r="K254" i="1"/>
  <c r="E254" i="1"/>
  <c r="F254" i="1" s="1"/>
  <c r="K253" i="1"/>
  <c r="E253" i="1"/>
  <c r="D253" i="1"/>
  <c r="K252" i="1"/>
  <c r="E252" i="1"/>
  <c r="D252" i="1"/>
  <c r="K251" i="1"/>
  <c r="F251" i="1"/>
  <c r="K250" i="1"/>
  <c r="E250" i="1"/>
  <c r="D250" i="1"/>
  <c r="K249" i="1"/>
  <c r="E249" i="1"/>
  <c r="F249" i="1" s="1"/>
  <c r="K248" i="1"/>
  <c r="E248" i="1"/>
  <c r="D248" i="1"/>
  <c r="K247" i="1"/>
  <c r="E247" i="1"/>
  <c r="D247" i="1"/>
  <c r="K246" i="1"/>
  <c r="E246" i="1"/>
  <c r="F246" i="1" s="1"/>
  <c r="K245" i="1"/>
  <c r="E245" i="1"/>
  <c r="F245" i="1" s="1"/>
  <c r="K244" i="1"/>
  <c r="E244" i="1"/>
  <c r="F244" i="1" s="1"/>
  <c r="K243" i="1"/>
  <c r="E243" i="1"/>
  <c r="F243" i="1" s="1"/>
  <c r="K242" i="1"/>
  <c r="E242" i="1"/>
  <c r="F242" i="1" s="1"/>
  <c r="K241" i="1"/>
  <c r="E241" i="1"/>
  <c r="F241" i="1" s="1"/>
  <c r="K240" i="1"/>
  <c r="E240" i="1"/>
  <c r="F240" i="1" s="1"/>
  <c r="K239" i="1"/>
  <c r="E239" i="1"/>
  <c r="F239" i="1" s="1"/>
  <c r="K238" i="1"/>
  <c r="E238" i="1"/>
  <c r="F238" i="1" s="1"/>
  <c r="K237" i="1"/>
  <c r="E237" i="1"/>
  <c r="F237" i="1" s="1"/>
  <c r="K236" i="1"/>
  <c r="E236" i="1"/>
  <c r="F236" i="1" s="1"/>
  <c r="K235" i="1"/>
  <c r="E235" i="1"/>
  <c r="F235" i="1" s="1"/>
  <c r="K234" i="1"/>
  <c r="E234" i="1"/>
  <c r="F234" i="1" s="1"/>
  <c r="K233" i="1"/>
  <c r="E233" i="1"/>
  <c r="F233" i="1" s="1"/>
  <c r="K232" i="1"/>
  <c r="E232" i="1"/>
  <c r="F232" i="1" s="1"/>
  <c r="K231" i="1"/>
  <c r="E231" i="1"/>
  <c r="F231" i="1" s="1"/>
  <c r="K230" i="1"/>
  <c r="E230" i="1"/>
  <c r="F230" i="1" s="1"/>
  <c r="K229" i="1"/>
  <c r="E229" i="1"/>
  <c r="D229" i="1"/>
  <c r="K228" i="1"/>
  <c r="E228" i="1"/>
  <c r="F228" i="1" s="1"/>
  <c r="K227" i="1"/>
  <c r="E227" i="1"/>
  <c r="F227" i="1" s="1"/>
  <c r="K226" i="1"/>
  <c r="E226" i="1"/>
  <c r="F226" i="1" s="1"/>
  <c r="K225" i="1"/>
  <c r="E225" i="1"/>
  <c r="F225" i="1" s="1"/>
  <c r="K224" i="1"/>
  <c r="E224" i="1"/>
  <c r="F224" i="1" s="1"/>
  <c r="K223" i="1"/>
  <c r="E223" i="1"/>
  <c r="F223" i="1" s="1"/>
  <c r="K222" i="1"/>
  <c r="E222" i="1"/>
  <c r="F222" i="1" s="1"/>
  <c r="K221" i="1"/>
  <c r="E221" i="1"/>
  <c r="F221" i="1" s="1"/>
  <c r="K220" i="1"/>
  <c r="E220" i="1"/>
  <c r="F220" i="1" s="1"/>
  <c r="K219" i="1"/>
  <c r="E219" i="1"/>
  <c r="F219" i="1" s="1"/>
  <c r="K218" i="1"/>
  <c r="E218" i="1"/>
  <c r="F218" i="1" s="1"/>
  <c r="K217" i="1"/>
  <c r="E217" i="1"/>
  <c r="F217" i="1" s="1"/>
  <c r="K216" i="1"/>
  <c r="E216" i="1"/>
  <c r="D216" i="1"/>
  <c r="K215" i="1"/>
  <c r="E215" i="1"/>
  <c r="D215" i="1"/>
  <c r="K214" i="1"/>
  <c r="E214" i="1"/>
  <c r="D214" i="1"/>
  <c r="K213" i="1"/>
  <c r="E213" i="1"/>
  <c r="D213" i="1"/>
  <c r="K212" i="1"/>
  <c r="E212" i="1"/>
  <c r="F212" i="1" s="1"/>
  <c r="K211" i="1"/>
  <c r="E211" i="1"/>
  <c r="D211" i="1"/>
  <c r="K210" i="1"/>
  <c r="E210" i="1"/>
  <c r="D210" i="1"/>
  <c r="K209" i="1"/>
  <c r="F209" i="1"/>
  <c r="K208" i="1"/>
  <c r="E208" i="1"/>
  <c r="D208" i="1"/>
  <c r="K207" i="1"/>
  <c r="E207" i="1"/>
  <c r="F207" i="1" s="1"/>
  <c r="K206" i="1"/>
  <c r="E206" i="1"/>
  <c r="D206" i="1"/>
  <c r="K205" i="1"/>
  <c r="E205" i="1"/>
  <c r="F205" i="1" s="1"/>
  <c r="K204" i="1"/>
  <c r="E204" i="1"/>
  <c r="F204" i="1" s="1"/>
  <c r="K203" i="1"/>
  <c r="E203" i="1"/>
  <c r="F203" i="1" s="1"/>
  <c r="K202" i="1"/>
  <c r="E202" i="1"/>
  <c r="D202" i="1"/>
  <c r="K201" i="1"/>
  <c r="F201" i="1"/>
  <c r="K200" i="1"/>
  <c r="E200" i="1"/>
  <c r="F200" i="1" s="1"/>
  <c r="K199" i="1"/>
  <c r="E199" i="1"/>
  <c r="F199" i="1" s="1"/>
  <c r="K198" i="1"/>
  <c r="E198" i="1"/>
  <c r="D198" i="1"/>
  <c r="K197" i="1"/>
  <c r="E197" i="1"/>
  <c r="F197" i="1" s="1"/>
  <c r="K196" i="1"/>
  <c r="E196" i="1"/>
  <c r="D196" i="1"/>
  <c r="K195" i="1"/>
  <c r="E195" i="1"/>
  <c r="D195" i="1"/>
  <c r="K194" i="1"/>
  <c r="E194" i="1"/>
  <c r="D194" i="1"/>
  <c r="K193" i="1"/>
  <c r="E193" i="1"/>
  <c r="D193" i="1"/>
  <c r="K192" i="1"/>
  <c r="E192" i="1"/>
  <c r="D192" i="1"/>
  <c r="K191" i="1"/>
  <c r="E191" i="1"/>
  <c r="F191" i="1" s="1"/>
  <c r="K190" i="1"/>
  <c r="E190" i="1"/>
  <c r="D190" i="1"/>
  <c r="K189" i="1"/>
  <c r="E189" i="1"/>
  <c r="D189" i="1"/>
  <c r="K188" i="1"/>
  <c r="E188" i="1"/>
  <c r="D188" i="1"/>
  <c r="K187" i="1"/>
  <c r="E187" i="1"/>
  <c r="F187" i="1" s="1"/>
  <c r="K186" i="1"/>
  <c r="E186" i="1"/>
  <c r="D186" i="1"/>
  <c r="K185" i="1"/>
  <c r="E185" i="1"/>
  <c r="D185" i="1"/>
  <c r="K184" i="1"/>
  <c r="E184" i="1"/>
  <c r="F184" i="1" s="1"/>
  <c r="K183" i="1"/>
  <c r="E183" i="1"/>
  <c r="F183" i="1" s="1"/>
  <c r="K182" i="1"/>
  <c r="F182" i="1"/>
  <c r="K181" i="1"/>
  <c r="E181" i="1"/>
  <c r="D181" i="1"/>
  <c r="K180" i="1"/>
  <c r="E180" i="1"/>
  <c r="D180" i="1"/>
  <c r="K179" i="1"/>
  <c r="E179" i="1"/>
  <c r="D179" i="1"/>
  <c r="K178" i="1"/>
  <c r="E178" i="1"/>
  <c r="F178" i="1" s="1"/>
  <c r="K177" i="1"/>
  <c r="E177" i="1"/>
  <c r="F177" i="1" s="1"/>
  <c r="K176" i="1"/>
  <c r="E176" i="1"/>
  <c r="F176" i="1" s="1"/>
  <c r="K175" i="1"/>
  <c r="E175" i="1"/>
  <c r="F175" i="1" s="1"/>
  <c r="K174" i="1"/>
  <c r="E174" i="1"/>
  <c r="D174" i="1"/>
  <c r="K173" i="1"/>
  <c r="E173" i="1"/>
  <c r="F173" i="1" s="1"/>
  <c r="K172" i="1"/>
  <c r="E172" i="1"/>
  <c r="F172" i="1" s="1"/>
  <c r="K171" i="1"/>
  <c r="E171" i="1"/>
  <c r="F171" i="1" s="1"/>
  <c r="K170" i="1"/>
  <c r="F170" i="1"/>
  <c r="K169" i="1"/>
  <c r="E169" i="1"/>
  <c r="D169" i="1"/>
  <c r="K168" i="1"/>
  <c r="F168" i="1"/>
  <c r="K167" i="1"/>
  <c r="E167" i="1"/>
  <c r="D167" i="1"/>
  <c r="K166" i="1"/>
  <c r="E166" i="1"/>
  <c r="D166" i="1"/>
  <c r="K165" i="1"/>
  <c r="E165" i="1"/>
  <c r="F165" i="1" s="1"/>
  <c r="K164" i="1"/>
  <c r="F164" i="1"/>
  <c r="K163" i="1"/>
  <c r="F163" i="1"/>
  <c r="K162" i="1"/>
  <c r="E162" i="1"/>
  <c r="D162" i="1"/>
  <c r="K161" i="1"/>
  <c r="E161" i="1"/>
  <c r="D161" i="1"/>
  <c r="K160" i="1"/>
  <c r="E160" i="1"/>
  <c r="F160" i="1" s="1"/>
  <c r="K159" i="1"/>
  <c r="E159" i="1"/>
  <c r="D159" i="1"/>
  <c r="K158" i="1"/>
  <c r="E158" i="1"/>
  <c r="F158" i="1" s="1"/>
  <c r="K157" i="1"/>
  <c r="E157" i="1"/>
  <c r="D157" i="1"/>
  <c r="K156" i="1"/>
  <c r="E156" i="1"/>
  <c r="D156" i="1"/>
  <c r="K155" i="1"/>
  <c r="E155" i="1"/>
  <c r="F155" i="1" s="1"/>
  <c r="K154" i="1"/>
  <c r="E154" i="1"/>
  <c r="F154" i="1" s="1"/>
  <c r="K153" i="1"/>
  <c r="E153" i="1"/>
  <c r="F153" i="1" s="1"/>
  <c r="K152" i="1"/>
  <c r="E152" i="1"/>
  <c r="F152" i="1" s="1"/>
  <c r="K151" i="1"/>
  <c r="E151" i="1"/>
  <c r="F151" i="1" s="1"/>
  <c r="K150" i="1"/>
  <c r="E150" i="1"/>
  <c r="D150" i="1"/>
  <c r="K149" i="1"/>
  <c r="E149" i="1"/>
  <c r="F149" i="1" s="1"/>
  <c r="K148" i="1"/>
  <c r="E148" i="1"/>
  <c r="D148" i="1"/>
  <c r="K147" i="1"/>
  <c r="E147" i="1"/>
  <c r="F147" i="1" s="1"/>
  <c r="K146" i="1"/>
  <c r="E146" i="1"/>
  <c r="D146" i="1"/>
  <c r="K145" i="1"/>
  <c r="E145" i="1"/>
  <c r="F145" i="1" s="1"/>
  <c r="K144" i="1"/>
  <c r="E144" i="1"/>
  <c r="F144" i="1" s="1"/>
  <c r="K143" i="1"/>
  <c r="E143" i="1"/>
  <c r="F143" i="1" s="1"/>
  <c r="K142" i="1"/>
  <c r="E142" i="1"/>
  <c r="F142" i="1" s="1"/>
  <c r="K141" i="1"/>
  <c r="E141" i="1"/>
  <c r="F141" i="1" s="1"/>
  <c r="K140" i="1"/>
  <c r="E140" i="1"/>
  <c r="D140" i="1"/>
  <c r="K139" i="1"/>
  <c r="E139" i="1"/>
  <c r="D139" i="1"/>
  <c r="K138" i="1"/>
  <c r="E138" i="1"/>
  <c r="F138" i="1" s="1"/>
  <c r="K137" i="1"/>
  <c r="E137" i="1"/>
  <c r="D137" i="1"/>
  <c r="K136" i="1"/>
  <c r="E136" i="1"/>
  <c r="F136" i="1" s="1"/>
  <c r="K135" i="1"/>
  <c r="E135" i="1"/>
  <c r="F135" i="1" s="1"/>
  <c r="K134" i="1"/>
  <c r="E134" i="1"/>
  <c r="D134" i="1"/>
  <c r="K133" i="1"/>
  <c r="E133" i="1"/>
  <c r="F133" i="1" s="1"/>
  <c r="K132" i="1"/>
  <c r="E132" i="1"/>
  <c r="D132" i="1"/>
  <c r="K131" i="1"/>
  <c r="E131" i="1"/>
  <c r="D131" i="1"/>
  <c r="K130" i="1"/>
  <c r="E130" i="1"/>
  <c r="D130" i="1"/>
  <c r="K129" i="1"/>
  <c r="E129" i="1"/>
  <c r="D129" i="1"/>
  <c r="K128" i="1"/>
  <c r="E128" i="1"/>
  <c r="D128" i="1"/>
  <c r="K127" i="1"/>
  <c r="E127" i="1"/>
  <c r="D127" i="1"/>
  <c r="K126" i="1"/>
  <c r="E126" i="1"/>
  <c r="F126" i="1" s="1"/>
  <c r="K125" i="1"/>
  <c r="E125" i="1"/>
  <c r="D125" i="1"/>
  <c r="K124" i="1"/>
  <c r="E124" i="1"/>
  <c r="F124" i="1" s="1"/>
  <c r="K123" i="1"/>
  <c r="E123" i="1"/>
  <c r="F123" i="1" s="1"/>
  <c r="K122" i="1"/>
  <c r="E122" i="1"/>
  <c r="F122" i="1" s="1"/>
  <c r="K121" i="1"/>
  <c r="E121" i="1"/>
  <c r="F121" i="1" s="1"/>
  <c r="K120" i="1"/>
  <c r="E120" i="1"/>
  <c r="F120" i="1" s="1"/>
  <c r="K119" i="1"/>
  <c r="E119" i="1"/>
  <c r="F119" i="1" s="1"/>
  <c r="K118" i="1"/>
  <c r="E118" i="1"/>
  <c r="D118" i="1"/>
  <c r="K117" i="1"/>
  <c r="E117" i="1"/>
  <c r="F117" i="1" s="1"/>
  <c r="K116" i="1"/>
  <c r="E116" i="1"/>
  <c r="D116" i="1"/>
  <c r="K115" i="1"/>
  <c r="E115" i="1"/>
  <c r="F115" i="1" s="1"/>
  <c r="K114" i="1"/>
  <c r="E114" i="1"/>
  <c r="F114" i="1" s="1"/>
  <c r="K113" i="1"/>
  <c r="E113" i="1"/>
  <c r="F113" i="1" s="1"/>
  <c r="K112" i="1"/>
  <c r="E112" i="1"/>
  <c r="F112" i="1" s="1"/>
  <c r="K111" i="1"/>
  <c r="E111" i="1"/>
  <c r="F111" i="1" s="1"/>
  <c r="K110" i="1"/>
  <c r="E110" i="1"/>
  <c r="F110" i="1" s="1"/>
  <c r="K109" i="1"/>
  <c r="E109" i="1"/>
  <c r="D109" i="1"/>
  <c r="K108" i="1"/>
  <c r="E108" i="1"/>
  <c r="F108" i="1" s="1"/>
  <c r="K107" i="1"/>
  <c r="E107" i="1"/>
  <c r="F107" i="1" s="1"/>
  <c r="K106" i="1"/>
  <c r="E106" i="1"/>
  <c r="D106" i="1"/>
  <c r="K105" i="1"/>
  <c r="E105" i="1"/>
  <c r="F105" i="1" s="1"/>
  <c r="K104" i="1"/>
  <c r="E104" i="1"/>
  <c r="F104" i="1" s="1"/>
  <c r="K103" i="1"/>
  <c r="E103" i="1"/>
  <c r="D103" i="1"/>
  <c r="K102" i="1"/>
  <c r="E102" i="1"/>
  <c r="D102" i="1"/>
  <c r="K101" i="1"/>
  <c r="E101" i="1"/>
  <c r="F101" i="1" s="1"/>
  <c r="K100" i="1"/>
  <c r="E100" i="1"/>
  <c r="F100" i="1" s="1"/>
  <c r="K99" i="1"/>
  <c r="E99" i="1"/>
  <c r="F99" i="1" s="1"/>
  <c r="K98" i="1"/>
  <c r="E98" i="1"/>
  <c r="F98" i="1" s="1"/>
  <c r="K97" i="1"/>
  <c r="E97" i="1"/>
  <c r="F97" i="1" s="1"/>
  <c r="K96" i="1"/>
  <c r="E96" i="1"/>
  <c r="D96" i="1"/>
  <c r="K95" i="1"/>
  <c r="E95" i="1"/>
  <c r="F95" i="1" s="1"/>
  <c r="K94" i="1"/>
  <c r="E94" i="1"/>
  <c r="D94" i="1"/>
  <c r="K93" i="1"/>
  <c r="E93" i="1"/>
  <c r="F93" i="1" s="1"/>
  <c r="K92" i="1"/>
  <c r="E92" i="1"/>
  <c r="F92" i="1" s="1"/>
  <c r="K91" i="1"/>
  <c r="E91" i="1"/>
  <c r="F91" i="1" s="1"/>
  <c r="K90" i="1"/>
  <c r="E90" i="1"/>
  <c r="F90" i="1" s="1"/>
  <c r="K89" i="1"/>
  <c r="E89" i="1"/>
  <c r="F89" i="1" s="1"/>
  <c r="K88" i="1"/>
  <c r="E88" i="1"/>
  <c r="F88" i="1" s="1"/>
  <c r="K87" i="1"/>
  <c r="E87" i="1"/>
  <c r="F87" i="1" s="1"/>
  <c r="K86" i="1"/>
  <c r="E86" i="1"/>
  <c r="F86" i="1" s="1"/>
  <c r="K85" i="1"/>
  <c r="E85" i="1"/>
  <c r="D85" i="1"/>
  <c r="K84" i="1"/>
  <c r="E84" i="1"/>
  <c r="F84" i="1" s="1"/>
  <c r="K83" i="1"/>
  <c r="E83" i="1"/>
  <c r="F83" i="1" s="1"/>
  <c r="K82" i="1"/>
  <c r="E82" i="1"/>
  <c r="F82" i="1" s="1"/>
  <c r="K81" i="1"/>
  <c r="E81" i="1"/>
  <c r="F81" i="1" s="1"/>
  <c r="K80" i="1"/>
  <c r="E80" i="1"/>
  <c r="F80" i="1" s="1"/>
  <c r="K79" i="1"/>
  <c r="E79" i="1"/>
  <c r="F79" i="1" s="1"/>
  <c r="K78" i="1"/>
  <c r="E78" i="1"/>
  <c r="F78" i="1" s="1"/>
  <c r="K77" i="1"/>
  <c r="E77" i="1"/>
  <c r="D77" i="1"/>
  <c r="K76" i="1"/>
  <c r="F76" i="1"/>
  <c r="K75" i="1"/>
  <c r="F75" i="1"/>
  <c r="K74" i="1"/>
  <c r="E74" i="1"/>
  <c r="F74" i="1" s="1"/>
  <c r="K73" i="1"/>
  <c r="E73" i="1"/>
  <c r="F73" i="1" s="1"/>
  <c r="K72" i="1"/>
  <c r="E72" i="1"/>
  <c r="F72" i="1" s="1"/>
  <c r="K71" i="1"/>
  <c r="F71" i="1"/>
  <c r="K70" i="1"/>
  <c r="E70" i="1"/>
  <c r="F70" i="1" s="1"/>
  <c r="K69" i="1"/>
  <c r="E69" i="1"/>
  <c r="D69" i="1"/>
  <c r="K68" i="1"/>
  <c r="E68" i="1"/>
  <c r="F68" i="1" s="1"/>
  <c r="K67" i="1"/>
  <c r="E67" i="1"/>
  <c r="F67" i="1" s="1"/>
  <c r="K66" i="1"/>
  <c r="E66" i="1"/>
  <c r="D66" i="1"/>
  <c r="K65" i="1"/>
  <c r="E65" i="1"/>
  <c r="D65" i="1"/>
  <c r="K64" i="1"/>
  <c r="E64" i="1"/>
  <c r="F64" i="1" s="1"/>
  <c r="K63" i="1"/>
  <c r="E63" i="1"/>
  <c r="F63" i="1" s="1"/>
  <c r="K62" i="1"/>
  <c r="E62" i="1"/>
  <c r="F62" i="1" s="1"/>
  <c r="K61" i="1"/>
  <c r="E61" i="1"/>
  <c r="F61" i="1" s="1"/>
  <c r="K60" i="1"/>
  <c r="E60" i="1"/>
  <c r="F60" i="1" s="1"/>
  <c r="K59" i="1"/>
  <c r="E59" i="1"/>
  <c r="D59" i="1"/>
  <c r="K58" i="1"/>
  <c r="E58" i="1"/>
  <c r="D58" i="1"/>
  <c r="K57" i="1"/>
  <c r="E57" i="1"/>
  <c r="F57" i="1" s="1"/>
  <c r="K56" i="1"/>
  <c r="E56" i="1"/>
  <c r="D56" i="1"/>
  <c r="K55" i="1"/>
  <c r="E55" i="1"/>
  <c r="F55" i="1" s="1"/>
  <c r="K54" i="1"/>
  <c r="E54" i="1"/>
  <c r="D54" i="1"/>
  <c r="K53" i="1"/>
  <c r="E53" i="1"/>
  <c r="D53" i="1"/>
  <c r="K52" i="1"/>
  <c r="E52" i="1"/>
  <c r="F52" i="1" s="1"/>
  <c r="K51" i="1"/>
  <c r="E51" i="1"/>
  <c r="F51" i="1" s="1"/>
  <c r="K50" i="1"/>
  <c r="E50" i="1"/>
  <c r="F50" i="1" s="1"/>
  <c r="K49" i="1"/>
  <c r="E49" i="1"/>
  <c r="F49" i="1" s="1"/>
  <c r="K48" i="1"/>
  <c r="E48" i="1"/>
  <c r="F48" i="1" s="1"/>
  <c r="K47" i="1"/>
  <c r="E47" i="1"/>
  <c r="F47" i="1" s="1"/>
  <c r="K46" i="1"/>
  <c r="E46" i="1"/>
  <c r="F46" i="1" s="1"/>
  <c r="K45" i="1"/>
  <c r="E45" i="1"/>
  <c r="F45" i="1" s="1"/>
  <c r="K44" i="1"/>
  <c r="E44" i="1"/>
  <c r="F44" i="1" s="1"/>
  <c r="K43" i="1"/>
  <c r="E43" i="1"/>
  <c r="F43" i="1" s="1"/>
  <c r="K42" i="1"/>
  <c r="F42" i="1"/>
  <c r="K41" i="1"/>
  <c r="E41" i="1"/>
  <c r="F41" i="1" s="1"/>
  <c r="K40" i="1"/>
  <c r="F40" i="1"/>
  <c r="K39" i="1"/>
  <c r="E39" i="1"/>
  <c r="D39" i="1"/>
  <c r="K38" i="1"/>
  <c r="E38" i="1"/>
  <c r="F38" i="1" s="1"/>
  <c r="K37" i="1"/>
  <c r="E37" i="1"/>
  <c r="F37" i="1" s="1"/>
  <c r="K36" i="1"/>
  <c r="E36" i="1"/>
  <c r="F36" i="1" s="1"/>
  <c r="K35" i="1"/>
  <c r="E35" i="1"/>
  <c r="F35" i="1" s="1"/>
  <c r="K34" i="1"/>
  <c r="E34" i="1"/>
  <c r="F34" i="1" s="1"/>
  <c r="K33" i="1"/>
  <c r="E33" i="1"/>
  <c r="F33" i="1" s="1"/>
  <c r="K32" i="1"/>
  <c r="E32" i="1"/>
  <c r="F32" i="1" s="1"/>
  <c r="K31" i="1"/>
  <c r="E31" i="1"/>
  <c r="F31" i="1" s="1"/>
  <c r="K30" i="1"/>
  <c r="E30" i="1"/>
  <c r="F30" i="1" s="1"/>
  <c r="K29" i="1"/>
  <c r="E29" i="1"/>
  <c r="F29" i="1" s="1"/>
  <c r="K28" i="1"/>
  <c r="E28" i="1"/>
  <c r="F28" i="1" s="1"/>
  <c r="K27" i="1"/>
  <c r="E27" i="1"/>
  <c r="F27" i="1" s="1"/>
  <c r="K26" i="1"/>
  <c r="E26" i="1"/>
  <c r="F26" i="1" s="1"/>
  <c r="K25" i="1"/>
  <c r="E25" i="1"/>
  <c r="F25" i="1" s="1"/>
  <c r="K24" i="1"/>
  <c r="E24" i="1"/>
  <c r="F24" i="1" s="1"/>
  <c r="K23" i="1"/>
  <c r="E23" i="1"/>
  <c r="F23" i="1" s="1"/>
  <c r="K22" i="1"/>
  <c r="E22" i="1"/>
  <c r="F22" i="1" s="1"/>
  <c r="K21" i="1"/>
  <c r="E21" i="1"/>
  <c r="F21" i="1" s="1"/>
  <c r="K20" i="1"/>
  <c r="E20" i="1"/>
  <c r="F20" i="1" s="1"/>
  <c r="K19" i="1"/>
  <c r="E19" i="1"/>
  <c r="F19" i="1" s="1"/>
  <c r="K18" i="1"/>
  <c r="E18" i="1"/>
  <c r="F18" i="1" s="1"/>
  <c r="K17" i="1"/>
  <c r="E17" i="1"/>
  <c r="F17" i="1" s="1"/>
  <c r="K16" i="1"/>
  <c r="E16" i="1"/>
  <c r="F16" i="1" s="1"/>
  <c r="K15" i="1"/>
  <c r="E15" i="1"/>
  <c r="F15" i="1" s="1"/>
  <c r="K14" i="1"/>
  <c r="E14" i="1"/>
  <c r="F14" i="1" s="1"/>
  <c r="K13" i="1"/>
  <c r="E13" i="1"/>
  <c r="F13" i="1" s="1"/>
  <c r="K12" i="1"/>
  <c r="E12" i="1"/>
  <c r="F12" i="1" s="1"/>
  <c r="K11" i="1"/>
  <c r="E11" i="1"/>
  <c r="F11" i="1" s="1"/>
  <c r="K10" i="1"/>
  <c r="E10" i="1"/>
  <c r="F10" i="1" s="1"/>
  <c r="K9" i="1"/>
  <c r="F9" i="1"/>
  <c r="K8" i="1"/>
  <c r="E8" i="1"/>
  <c r="F8" i="1" s="1"/>
  <c r="K7" i="1"/>
  <c r="E7" i="1"/>
  <c r="F7" i="1" s="1"/>
  <c r="K6" i="1"/>
  <c r="E6" i="1"/>
  <c r="F6" i="1" s="1"/>
  <c r="E5" i="1"/>
  <c r="F5" i="1" s="1"/>
  <c r="K4" i="1"/>
  <c r="E4" i="1"/>
  <c r="F4" i="1" s="1"/>
  <c r="F488" i="1" l="1"/>
  <c r="F179" i="1"/>
  <c r="F412" i="1"/>
  <c r="F134" i="1"/>
  <c r="F450" i="1"/>
  <c r="F156" i="1"/>
  <c r="F190" i="1"/>
  <c r="F329" i="1"/>
  <c r="F368" i="1"/>
  <c r="F295" i="1"/>
  <c r="F398" i="1"/>
  <c r="F485" i="1"/>
  <c r="F252" i="1"/>
  <c r="F275" i="1"/>
  <c r="F208" i="1"/>
  <c r="F213" i="1"/>
  <c r="F77" i="1"/>
  <c r="F367" i="1"/>
  <c r="F415" i="1"/>
  <c r="F185" i="1"/>
  <c r="F279" i="1"/>
  <c r="F304" i="1"/>
  <c r="F186" i="1"/>
  <c r="F202" i="1"/>
  <c r="F263" i="1"/>
  <c r="F272" i="1"/>
  <c r="F69" i="1"/>
  <c r="F287" i="1"/>
  <c r="F360" i="1"/>
  <c r="F491" i="1"/>
  <c r="F161" i="1"/>
  <c r="F166" i="1"/>
  <c r="F270" i="1"/>
  <c r="F319" i="1"/>
  <c r="F471" i="1"/>
  <c r="F167" i="1"/>
  <c r="F476" i="1"/>
  <c r="F129" i="1"/>
  <c r="F196" i="1"/>
  <c r="F253" i="1"/>
  <c r="F285" i="1"/>
  <c r="F326" i="1"/>
  <c r="F410" i="1"/>
  <c r="F486" i="1"/>
  <c r="F59" i="1"/>
  <c r="F96" i="1"/>
  <c r="F169" i="1"/>
  <c r="F174" i="1"/>
  <c r="F214" i="1"/>
  <c r="F250" i="1"/>
  <c r="F195" i="1"/>
  <c r="F303" i="1"/>
  <c r="F127" i="1"/>
  <c r="F131" i="1"/>
  <c r="F150" i="1"/>
  <c r="F215" i="1"/>
  <c r="F442" i="1"/>
  <c r="F500" i="1"/>
  <c r="F65" i="1"/>
  <c r="F109" i="1"/>
  <c r="F118" i="1"/>
  <c r="F413" i="1"/>
  <c r="F188" i="1"/>
  <c r="F447" i="1"/>
  <c r="F216" i="1"/>
  <c r="F273" i="1"/>
  <c r="F409" i="1"/>
  <c r="F137" i="1"/>
  <c r="F370" i="1"/>
  <c r="F400" i="1"/>
  <c r="F453" i="1"/>
  <c r="F102" i="1"/>
  <c r="F265" i="1"/>
  <c r="F125" i="1"/>
  <c r="F148" i="1"/>
  <c r="F157" i="1"/>
  <c r="F435" i="1"/>
  <c r="F472" i="1"/>
  <c r="F502" i="1"/>
  <c r="F512" i="1"/>
  <c r="F194" i="1"/>
  <c r="F198" i="1"/>
  <c r="F248" i="1"/>
  <c r="F459" i="1"/>
  <c r="F54" i="1"/>
  <c r="F58" i="1"/>
  <c r="F371" i="1"/>
  <c r="F445" i="1"/>
  <c r="F513" i="1"/>
  <c r="F94" i="1"/>
  <c r="F139" i="1"/>
  <c r="F210" i="1"/>
  <c r="F436" i="1"/>
  <c r="F469" i="1"/>
  <c r="F116" i="1"/>
  <c r="F206" i="1"/>
  <c r="F229" i="1"/>
  <c r="F266" i="1"/>
  <c r="F274" i="1"/>
  <c r="F339" i="1"/>
  <c r="F475" i="1"/>
  <c r="F483" i="1"/>
  <c r="F487" i="1"/>
  <c r="F130" i="1"/>
  <c r="F162" i="1"/>
  <c r="F192" i="1"/>
  <c r="F211" i="1"/>
  <c r="F271" i="1"/>
  <c r="F451" i="1"/>
  <c r="F460" i="1"/>
  <c r="F106" i="1"/>
  <c r="F180" i="1"/>
  <c r="F189" i="1"/>
  <c r="F193" i="1"/>
  <c r="F247" i="1"/>
  <c r="F473" i="1"/>
  <c r="F501" i="1"/>
  <c r="F524" i="1"/>
  <c r="F529" i="1"/>
  <c r="E3" i="1"/>
  <c r="F56" i="1"/>
  <c r="F103" i="1"/>
  <c r="F140" i="1"/>
  <c r="F159" i="1"/>
  <c r="F181" i="1"/>
  <c r="F256" i="1"/>
  <c r="F264" i="1"/>
  <c r="F280" i="1"/>
  <c r="F288" i="1"/>
  <c r="F417" i="1"/>
  <c r="F53" i="1"/>
  <c r="F128" i="1"/>
  <c r="F132" i="1"/>
  <c r="F146" i="1"/>
  <c r="F328" i="1"/>
  <c r="F338" i="1"/>
  <c r="F369" i="1"/>
  <c r="F382" i="1"/>
  <c r="F489" i="1"/>
  <c r="F549" i="1"/>
  <c r="F66" i="1"/>
  <c r="F85" i="1"/>
  <c r="F294" i="1"/>
  <c r="F366" i="1"/>
  <c r="F414" i="1"/>
  <c r="F441" i="1"/>
  <c r="F499" i="1"/>
  <c r="F39" i="1"/>
  <c r="D3" i="1"/>
  <c r="F3" i="1" l="1"/>
</calcChain>
</file>

<file path=xl/sharedStrings.xml><?xml version="1.0" encoding="utf-8"?>
<sst xmlns="http://schemas.openxmlformats.org/spreadsheetml/2006/main" count="4441" uniqueCount="1213">
  <si>
    <t>2024 ხელშეკრულებების რეესტრი</t>
  </si>
  <si>
    <t>N</t>
  </si>
  <si>
    <t>ორგანიზაციის დასახელება</t>
  </si>
  <si>
    <t>ხელშეკრულების საგანი</t>
  </si>
  <si>
    <t>ღირებულება</t>
  </si>
  <si>
    <t>ფაქტიურად გადახდილი</t>
  </si>
  <si>
    <t>ნაშთი</t>
  </si>
  <si>
    <t>შესყიდვის განხორციელების თარიღი</t>
  </si>
  <si>
    <t>შესყიდვის საშუალება</t>
  </si>
  <si>
    <t>დანაყოფის კოდი</t>
  </si>
  <si>
    <t>დანაყოფის კოდის დასახელება</t>
  </si>
  <si>
    <t>შენიშვნა</t>
  </si>
  <si>
    <t>CMR/SPA/NAT</t>
  </si>
  <si>
    <t>სს სილქნეტი</t>
  </si>
  <si>
    <t>მობილური სატელეფონო მომსახურების შესყიდვა</t>
  </si>
  <si>
    <t>23.12.2022</t>
  </si>
  <si>
    <t>31.12.2023</t>
  </si>
  <si>
    <t>კ.ტ.</t>
  </si>
  <si>
    <t>CON220000397</t>
  </si>
  <si>
    <t>CON220000397-00229</t>
  </si>
  <si>
    <t>შპს რელიანს ინთერნეიშენალ</t>
  </si>
  <si>
    <t>ბალანსზე არსებული ავტომობილების რეცხვის მომსახურება</t>
  </si>
  <si>
    <t>15.12.2023</t>
  </si>
  <si>
    <t>31.01.2025</t>
  </si>
  <si>
    <t>ე.ტ.</t>
  </si>
  <si>
    <t>ავტომობილების ტექნიკური მომსახურება.</t>
  </si>
  <si>
    <t>შპს საქართველოს ფოსტა</t>
  </si>
  <si>
    <t>ფოსტის მომსახურება</t>
  </si>
  <si>
    <t>შპს ჯეონეთი</t>
  </si>
  <si>
    <t>ინტერნეტ ტელეფონით IP სატელეკომუნიკაციო მომსახურებები (ოფისი + აეროპორტი</t>
  </si>
  <si>
    <t>20.12.2023</t>
  </si>
  <si>
    <t>გ.შ.</t>
  </si>
  <si>
    <t>საქართველოს კანონის სახელმწიფო შესყიდვების შესახებ, მე-10/1 მუხლის 3  პუნქტის "დ" ქვეპუნქტისა და საქართველოს მთავრობის 2012 წლის 26 სექტემბრის N1805 განკარგულების საფუძველზე</t>
  </si>
  <si>
    <t>CMR230171216</t>
  </si>
  <si>
    <t>შპს მაგთიკომი</t>
  </si>
  <si>
    <t>ინტერნეტ მომსახურება</t>
  </si>
  <si>
    <t>CMR230171207</t>
  </si>
  <si>
    <t>სს ფრანს ავტო</t>
  </si>
  <si>
    <t xml:space="preserve">Renault Duster - ტექნიკური მომსახურება </t>
  </si>
  <si>
    <t>CON190000375-00354</t>
  </si>
  <si>
    <t xml:space="preserve">Renault Sandero, - ტექნიკური მომსახურება </t>
  </si>
  <si>
    <t>CON190000362-00236</t>
  </si>
  <si>
    <t>სსიპ სახელისუფლებო სპეციალური კავშირგაბმულობის სააგენტო</t>
  </si>
  <si>
    <t xml:space="preserve">სპეცკავშირის სატელეფონო და/ან ინფორმაციის მიმოცვლის სისტემით, დახურულ რეჟიმში საკომუნიკაციო მომსახურება </t>
  </si>
  <si>
    <t>სახელმწიფო შესყიდვების სააგენტოს თავმჯდომარის 2015 წლის 17 აგვისტოს №13 ბრძანებით დამტკიცებული „გამარტივებული შესყიდვის კრიტერიუმებისა და გამარტივებული შესყიდვის ჩატარების წესის“ მე-3 მუხლის პირველი პუნქტების „ა“ ქვეპუნქტის და სახელმწიფო შესყიდვების სააგენტოს თავმჯდომარის 2023 წლის 13 დეკემბრის №3448 განკარგულების შესაბამისად (SMP230002999)</t>
  </si>
  <si>
    <t xml:space="preserve">CMR230172520 </t>
  </si>
  <si>
    <t>საქართველოს შინაგან საქმეთა სამინისტროს საჯარო სამართლის იურიდიული პირი - დაცვის პოლიციის დეპარტამენტი</t>
  </si>
  <si>
    <t xml:space="preserve">შემსყიდველის დროებით სარგებლობაში რიცხული შენობის დაცვის  მომსახურება </t>
  </si>
  <si>
    <t>სახელმწიფო შესყიდვების სააგენტოს თავმჯდომარის 2015 წლის 17 აგვისტოს №13 ბრძანებით დამტკიცებული „გამარტივებული შესყიდვის კრიტერიუმებისა და გამარტივებული შესყიდვის ჩატარების წესის“ მე-3 მუხლის პირველი პუნქტების „ა“ ქვეპუნქტის და სახელმწიფო შესყიდვების სააგენტოს თავმჯდომარის 2023 წლის 7 დეკემბრის №3313  (SMP230002915) განკარგულების შესაბამისად</t>
  </si>
  <si>
    <t>CMR230172532</t>
  </si>
  <si>
    <t xml:space="preserve">სს სადაზღვევო კომპანია ალფა </t>
  </si>
  <si>
    <t>მანქანების დაზღევევა</t>
  </si>
  <si>
    <t>CON230000387-00021</t>
  </si>
  <si>
    <t>შპს იუ-ჯი-თი</t>
  </si>
  <si>
    <t>კატრიჯები</t>
  </si>
  <si>
    <t xml:space="preserve">CON230000368-00054 </t>
  </si>
  <si>
    <t>10/1</t>
  </si>
  <si>
    <t>პრინტერები</t>
  </si>
  <si>
    <t>სსიპ საქართველოს საკანონმდებლო მაცნე</t>
  </si>
  <si>
    <t>მაცნე</t>
  </si>
  <si>
    <t xml:space="preserve">საქართველოს კანონი სახელმწიფო შესყიდვების შესახებ, მე-10/1 მუხლის მე-3  პუნქტის "ზ" ქვეპუნქტი </t>
  </si>
  <si>
    <t xml:space="preserve">CMR230168983 </t>
  </si>
  <si>
    <t>სს გლობალ ერთი</t>
  </si>
  <si>
    <t>ინტერნეტ ტელეფონით VoIP საკომუნიკაციო მომსახურება</t>
  </si>
  <si>
    <t>CMR230173866</t>
  </si>
  <si>
    <t>სსიპ ციფრული მმართველობის სააგენტო</t>
  </si>
  <si>
    <t>დესის მომსახურება</t>
  </si>
  <si>
    <t>საქართველოს კანონის სახელმწიფო შესყიდვების შესახებ, მე-10/1 მუხლის 3  პუნქტის "დ" ქვეპუნქტისა და საქართველოს მთავრობის 2012 წლის 23 მარტის  N496 განკარგულების საფუძველზე</t>
  </si>
  <si>
    <t>CMR230173869</t>
  </si>
  <si>
    <t>სატელევიზიო მომსახურება</t>
  </si>
  <si>
    <t xml:space="preserve">საქართველოს კანონი სახელმწიფო შესყიდვების შესახებ, მე-3 მუხლის 1  პუნქტის "ს1" ქვეპუნქტი </t>
  </si>
  <si>
    <t>CMR230173872</t>
  </si>
  <si>
    <t>სს შერიფი</t>
  </si>
  <si>
    <t>დაცვის მომსახურება</t>
  </si>
  <si>
    <t>CMR230173875</t>
  </si>
  <si>
    <t>შპს ზოლი</t>
  </si>
  <si>
    <t>სავიზიტო ბარათები</t>
  </si>
  <si>
    <t>21.12.2023</t>
  </si>
  <si>
    <t>საქართველოს კანონი სახელმწიფო შესყიდვების შესახებ, მე-3 მუხლის 1  პუნქტის "ს1" ქვეპუნქტი</t>
  </si>
  <si>
    <t>CMR230174170</t>
  </si>
  <si>
    <t>25.12.2023</t>
  </si>
  <si>
    <t>საქართველოს კანონი სახელმწიფო შესყიდვების შესახებ, მე-10/1 მუხლის მე-3 პუნქტის "თ" ქვეპუნქტი</t>
  </si>
  <si>
    <t>CMR230172476</t>
  </si>
  <si>
    <t>შპს რომპეტროლ საქართველო</t>
  </si>
  <si>
    <t>პერმიუმი ბენზინი</t>
  </si>
  <si>
    <t>09100000</t>
  </si>
  <si>
    <t>CON230000462-00005</t>
  </si>
  <si>
    <t>შპს თეგეტა რითეილი</t>
  </si>
  <si>
    <t>ფილტრი ზეთის (MITSUBISHI  L200 სახ.NOO-508-GG; RENAULT  DUSTER  სახ.NOO-031-GG; TOYOTA LAND CRUISER PRADO სახ.NFZ-012-ZF)</t>
  </si>
  <si>
    <t>CON230000397-00013</t>
  </si>
  <si>
    <t>19/1</t>
  </si>
  <si>
    <t>ავტომანქანების (MITSUBISHI L200 სახ.NOO-508-GG; RENAULT DUSTER  სახ.NOO-031-GG; TOYOTA LAND CRUISER PRADO სახ.NFZ-012-ZF) ძრავის ზეთი 
SAE 5W30</t>
  </si>
  <si>
    <t>09200000</t>
  </si>
  <si>
    <t xml:space="preserve">CON230000397-00014 </t>
  </si>
  <si>
    <t>სსიპ საქართველოს საერთაშორისო ხელშეკრულებათა თარგმნის ბიურო</t>
  </si>
  <si>
    <t>თარგმნა</t>
  </si>
  <si>
    <t>CMR230173878</t>
  </si>
  <si>
    <t>შპს სან პეტროლიუმ ჯორჯია</t>
  </si>
  <si>
    <t>ევროდიზელი</t>
  </si>
  <si>
    <t>26.12.2023</t>
  </si>
  <si>
    <t>CON230000463-00002</t>
  </si>
  <si>
    <t>შპს კინგს მენ კომპანი</t>
  </si>
  <si>
    <t>ფანჯრების წმენდა</t>
  </si>
  <si>
    <t>შპს კარგო ლოჯისთიქს გრუფ ჯორჯია</t>
  </si>
  <si>
    <t>2024 წლის განმავლობასი საერთაშორისო ტვირთის გადაზიდვა</t>
  </si>
  <si>
    <t>შპს რითეინ</t>
  </si>
  <si>
    <t>უკუკავშირის პორტალის მომსახურბეის შესყიდვა</t>
  </si>
  <si>
    <t>28.12.2023</t>
  </si>
  <si>
    <t>საქართველოს კანონის სახელმწიფო შესყიდვების შესახებ, მე-10/1 მუხლის 3  პუნქტის "დ" ქვეპუნქტისა და საქართველოს მთავრობის 2023 წლის 25 დეკემბერი  N2375 განკარგულების საფუძველზე (SMP230002809)</t>
  </si>
  <si>
    <t>CMR230175709</t>
  </si>
  <si>
    <t>შპს არტმედია</t>
  </si>
  <si>
    <t>ვებ გვერდების ტექნიკური მომსახურება</t>
  </si>
  <si>
    <t>29.12.2023</t>
  </si>
  <si>
    <t>NAT230024431</t>
  </si>
  <si>
    <t>შპს მაქსერვისი</t>
  </si>
  <si>
    <t>ადმინისტრაციის ბალანსზე რიცხული ავტომობილების მოწყობილობების და სათადარიგო ნაწილების ტექნიკური მომსახურება</t>
  </si>
  <si>
    <t>NAT230024913</t>
  </si>
  <si>
    <t>ი.მ. შალვა არაბული</t>
  </si>
  <si>
    <t>ტვირთის გადაზიდვა ქვეყნის შიგნით</t>
  </si>
  <si>
    <t>NAT230024547</t>
  </si>
  <si>
    <t>ინდივიდუალური მეწარმე შალვა მუხიგულაშვილი</t>
  </si>
  <si>
    <t>ლიფტების ტექნიკური მომსახურება</t>
  </si>
  <si>
    <t>08.01.2024</t>
  </si>
  <si>
    <t>CMR240002238</t>
  </si>
  <si>
    <t>შპს ნამი 8</t>
  </si>
  <si>
    <t>დისპენსერები</t>
  </si>
  <si>
    <t>CMR240005543</t>
  </si>
  <si>
    <t>შპს ვი დი ჯი გრუპი</t>
  </si>
  <si>
    <t>პირადი ჰიგიენის საშუალებების შესყიდვა</t>
  </si>
  <si>
    <t>16.01.2024</t>
  </si>
  <si>
    <t>CMR240011704</t>
  </si>
  <si>
    <t>სსიპ თბილისის ტრანსპორტისა და ურბანული განვითარების სააგენტო</t>
  </si>
  <si>
    <t>ავტოსატრანსპორტო საშუალებებისთვის დედაქალაქის ტერიტორიაზე, ქალაქ თბილისის მუნიციპალიტეტის მიერ სპეციალურად გამოყოფილ ზონალური პარკირების ადგილებით 1 (ერთი) წლის ვადით სარგებლობის უფლების მოპოვება</t>
  </si>
  <si>
    <t>24.02.2025</t>
  </si>
  <si>
    <t xml:space="preserve">CMR240007096 </t>
  </si>
  <si>
    <t>სს გრინვეი საქართველო</t>
  </si>
  <si>
    <t>ავტოსატრანსპორტო საშუალების  „TOYOTA LAND CRUISER PRADO-  FZ-012-ZF“ გეგმიური ტექნიკური ინსპექტირების  შესყიდვა</t>
  </si>
  <si>
    <t>CMR240008418</t>
  </si>
  <si>
    <t>Helsinki Expo and Convention Centre Messukeskus</t>
  </si>
  <si>
    <t>MATKA 2024, რომელიც გაიმართება 2024 წლის 18-21 იანვარს ჰელსინკში, ფინეთი</t>
  </si>
  <si>
    <t>CMR240013294</t>
  </si>
  <si>
    <t>შპს ბი-სი-ჯი კვლევა</t>
  </si>
  <si>
    <t>ზამთრის კურორტებზე გუდაური/ბაკურიანი/მესტია) არსებულ კვებისა და განთავსების ობიექტში, იდუმალი სტუმრის მეთოდით მომსახურების ხარისხის კვლევა</t>
  </si>
  <si>
    <t>17.01.2024</t>
  </si>
  <si>
    <t>NAT230026900</t>
  </si>
  <si>
    <t>DEKORSTAND MİMARLIK DEKORASYON FUARCILIK A.Ş</t>
  </si>
  <si>
    <t>EMITT 2024 Fair, which will take place at TUYAP / Istanbul between February 06-09 2024, organising by Ica events.</t>
  </si>
  <si>
    <t>31.12.2024</t>
  </si>
  <si>
    <t>შპს ახალი ამბები</t>
  </si>
  <si>
    <t>ვებ-გვერდზე www.ipn.ge ინფორმაციის განთავსების მომსახურების შესყიდვა</t>
  </si>
  <si>
    <t>18.01.2024</t>
  </si>
  <si>
    <t>CMR240011995</t>
  </si>
  <si>
    <t>შპს კვირა +</t>
  </si>
  <si>
    <t>ვებ-გვერდზე www.kvira.ge ინფორმაციის განთავსების მომსახურების შესყიდვა</t>
  </si>
  <si>
    <t>CMR240011999</t>
  </si>
  <si>
    <t>შპს ტელეიმედი</t>
  </si>
  <si>
    <t>ვებ-გვერდზე www.imedinews.ge ინფორმაციის განთავსების მომსახურების შესყიდვა</t>
  </si>
  <si>
    <t>CMR240012004</t>
  </si>
  <si>
    <t>შპს პრაიმ თაიმ</t>
  </si>
  <si>
    <t>ვებ-გვერდზე www.primetime.ge ინფორმაციის განთავსების მომსახურების შესყიდვა</t>
  </si>
  <si>
    <t>CMR240012027</t>
  </si>
  <si>
    <t>შპს ჯორჯიან ბიზნეს ენდ პოლითიქალ ინსაით-BPI</t>
  </si>
  <si>
    <t>ვებ-გვერდზე www.avianews.ge ინფორმაციის განთავსების მომსახურების შესყიდვა</t>
  </si>
  <si>
    <t>CMR240012061</t>
  </si>
  <si>
    <t>შპს ესთიაი ჯორჯია</t>
  </si>
  <si>
    <t>საჰაერო მომსახურება</t>
  </si>
  <si>
    <t>საქართველოს კანონი სახელმწიფო შესყიდვების შესახებ, მე-10/1 მუხლის მე-3 პუნქტის "ვ" ქვეპუნქტი</t>
  </si>
  <si>
    <t>CMR240010892</t>
  </si>
  <si>
    <t xml:space="preserve">შპს კლიპ-არტი </t>
  </si>
  <si>
    <t>ვებ გვერდისთვის https://georgia.travel საძიებო სისტემების ოპტიმიზაციის მომსახურების შესყიდვა</t>
  </si>
  <si>
    <t xml:space="preserve">NAT230026782 </t>
  </si>
  <si>
    <t>შპს ონლაინ ტრეიდინგ გრუპ</t>
  </si>
  <si>
    <t>ყავა</t>
  </si>
  <si>
    <t>CMR240011406</t>
  </si>
  <si>
    <t>თეთრი შაქარი</t>
  </si>
  <si>
    <t>CMR240011419</t>
  </si>
  <si>
    <t>Expo Event Services</t>
  </si>
  <si>
    <t xml:space="preserve">New York Travel and Adventure Show 2024, </t>
  </si>
  <si>
    <t>CMR240011587</t>
  </si>
  <si>
    <t>Influentsia Global Agency</t>
  </si>
  <si>
    <t>მარკეტინგული სარეკლამო კამპანიის ორგანიზების მომსახურების გაწევა</t>
  </si>
  <si>
    <t>22.01.2024</t>
  </si>
  <si>
    <t>CMR240011005</t>
  </si>
  <si>
    <t>Grupo Chacha Power S.L</t>
  </si>
  <si>
    <t xml:space="preserve">Fitur 2024-ის ფარგლებში კვების მომსახურების შესყიდვა  ქ. მადრიდი, ესპანეთი 24-28 </t>
  </si>
  <si>
    <t>23.01.2024</t>
  </si>
  <si>
    <t>CMR240019098</t>
  </si>
  <si>
    <t xml:space="preserve">ი.მ. ქართველა ჭაბაშვილი  </t>
  </si>
  <si>
    <t>ტრანსპორტის მომსახურება</t>
  </si>
  <si>
    <t xml:space="preserve">CMR240014330 </t>
  </si>
  <si>
    <t>MELE Estudios y Producciones S.L.</t>
  </si>
  <si>
    <t>Madrid Fusión 2024</t>
  </si>
  <si>
    <t>CMR240012964</t>
  </si>
  <si>
    <t>FORO DE DEBATE, S.L.U</t>
  </si>
  <si>
    <t>CMR240013404</t>
  </si>
  <si>
    <t xml:space="preserve">IFEMA MADRID- INSTITUCIÓN FERIAL DE MADRID </t>
  </si>
  <si>
    <t>Madrid Fitur 2024</t>
  </si>
  <si>
    <t>CMR240026765</t>
  </si>
  <si>
    <t>შპს დისქავერი</t>
  </si>
  <si>
    <t xml:space="preserve">CMR240014529 </t>
  </si>
  <si>
    <t>შპს ავიაქსელი</t>
  </si>
  <si>
    <t xml:space="preserve">CMR240014114 </t>
  </si>
  <si>
    <t>CMR240014016</t>
  </si>
  <si>
    <t>ი.მ. მალხაზ გიგანი</t>
  </si>
  <si>
    <t>25.01.2024</t>
  </si>
  <si>
    <t>CMR240020163</t>
  </si>
  <si>
    <t>შპს სეტი +</t>
  </si>
  <si>
    <t>სასტუმრო მომსახურება</t>
  </si>
  <si>
    <t>CMR240021394</t>
  </si>
  <si>
    <t>სარესტორნო მომსახურება</t>
  </si>
  <si>
    <t>CMR240021423</t>
  </si>
  <si>
    <t>შპს დიარონი</t>
  </si>
  <si>
    <t>CMR240020166</t>
  </si>
  <si>
    <t>CMR240015950</t>
  </si>
  <si>
    <t xml:space="preserve">სსიპ - საქართველოს კულტურული მემკვიდრეობის დაცვის ეროვნული სააგენტო </t>
  </si>
  <si>
    <t>მუზეუმოს მომსახურება</t>
  </si>
  <si>
    <t>CMR240015242</t>
  </si>
  <si>
    <t>შპს ჯორჯიან ჰოტელ მენეჯმენტი</t>
  </si>
  <si>
    <t>CMR240015827</t>
  </si>
  <si>
    <t xml:space="preserve">CMR240015974 </t>
  </si>
  <si>
    <t>ი.მ. მაკა თორდინავა</t>
  </si>
  <si>
    <t>CMR240023222</t>
  </si>
  <si>
    <t>შპს ვანილა ივენთი</t>
  </si>
  <si>
    <t>მადრიდ ფუჟენისთვის ღონისძიების ორგანიზების მომსახურების შესყიდვა</t>
  </si>
  <si>
    <t>26.01.2024</t>
  </si>
  <si>
    <t>CMR240021375</t>
  </si>
  <si>
    <t xml:space="preserve">CMR240019168 </t>
  </si>
  <si>
    <t>29.01.2024</t>
  </si>
  <si>
    <t xml:space="preserve">CMR240019373 </t>
  </si>
  <si>
    <t>შპს ყვარლის ღვინის გვირაბი</t>
  </si>
  <si>
    <t>მუზეუმის მომსახურება</t>
  </si>
  <si>
    <t>CMR240026059</t>
  </si>
  <si>
    <t>VIESTURS TILE</t>
  </si>
  <si>
    <t>საერთაშორისო გამოფენაზე სტენდის აგების მომსახურება - რიგა,ლატვია - 2-4 თებერვალი</t>
  </si>
  <si>
    <t>CMR240027113</t>
  </si>
  <si>
    <t>CMR240019422</t>
  </si>
  <si>
    <t>სსიპ საქართველოს ეროვნული მუზეუმი</t>
  </si>
  <si>
    <t>სამუზეომო მომსახურება</t>
  </si>
  <si>
    <t>CMR240020313</t>
  </si>
  <si>
    <t>ი.მ. გურამი ალაფიშვილი</t>
  </si>
  <si>
    <t>გიდის მომსახურება</t>
  </si>
  <si>
    <t>30.01.2024</t>
  </si>
  <si>
    <t>CMR240024563</t>
  </si>
  <si>
    <t>ი.მ. დავით ნოზაძე</t>
  </si>
  <si>
    <t>CMR240024450</t>
  </si>
  <si>
    <t>ააიპ თბილისის ღვინის მუზეუმი</t>
  </si>
  <si>
    <t>CMR240025067</t>
  </si>
  <si>
    <t>შპს შეფ ლევან კობიაშვილი</t>
  </si>
  <si>
    <t>ღვინის დეგუსტაციო</t>
  </si>
  <si>
    <t>CMR240024561</t>
  </si>
  <si>
    <t>ი.მ. ნინო მერის მაძღარიშვილი</t>
  </si>
  <si>
    <t>CMR240025525</t>
  </si>
  <si>
    <t>CMR240025527</t>
  </si>
  <si>
    <t>ი.მ. ქეთევან ახობაძე</t>
  </si>
  <si>
    <t>CMR240026544</t>
  </si>
  <si>
    <t>შპს ჯი-ემ-თი მთაწმინდა</t>
  </si>
  <si>
    <t>CMR240024185</t>
  </si>
  <si>
    <t>CMR240024564</t>
  </si>
  <si>
    <t>ი.მ. ნიკოლოზ ფალიანი</t>
  </si>
  <si>
    <t>CMR240033151</t>
  </si>
  <si>
    <t>შპს აჭარა ჰოსპიტალიტი</t>
  </si>
  <si>
    <t>CMR240030638</t>
  </si>
  <si>
    <t>ი.მ. ნოდარი ხუციშვილი</t>
  </si>
  <si>
    <t xml:space="preserve">CMR240026795 </t>
  </si>
  <si>
    <t>საერთაშორისო გამოფენებზე ტვირთის გადაზიდვა</t>
  </si>
  <si>
    <t>CMR240025242</t>
  </si>
  <si>
    <t>შპს მშრალი ხიდი</t>
  </si>
  <si>
    <t>გადაადგილებასთან დაკავშირებული მომსახურებები</t>
  </si>
  <si>
    <t>31.01.2024</t>
  </si>
  <si>
    <t xml:space="preserve">საქართველოს კანონი სახელმწიფო შესყიდვების შესახებ, მე-10/1 მუხლის მე-3 პუნქტის "ვ" ქვეპუნქტი </t>
  </si>
  <si>
    <t>CMR240024401</t>
  </si>
  <si>
    <t>შპს ქართული ოჯახი</t>
  </si>
  <si>
    <t>CMR240026338</t>
  </si>
  <si>
    <t>ღვინის დეგუსტაცია</t>
  </si>
  <si>
    <t>CMR240026343</t>
  </si>
  <si>
    <t>შპს აზარფეშა დაინინგ</t>
  </si>
  <si>
    <t>CMR240026286</t>
  </si>
  <si>
    <t>CMR240026288</t>
  </si>
  <si>
    <t>ი.მ. დავით ხუჯაშვილი</t>
  </si>
  <si>
    <t>CMR240025518</t>
  </si>
  <si>
    <t>შპს მაგთი</t>
  </si>
  <si>
    <t>CMR240025979</t>
  </si>
  <si>
    <t>სსიპ თბილისის აპოლონ ქუთათელაძის სახელობის სახელმწიფო სამხატვრო აკადემია</t>
  </si>
  <si>
    <t>CMR240024447</t>
  </si>
  <si>
    <t xml:space="preserve">ი.მ. ანდრო ბურდული </t>
  </si>
  <si>
    <t xml:space="preserve">CMR240033018 </t>
  </si>
  <si>
    <t>შპს ლეილა</t>
  </si>
  <si>
    <t>CMR240027288</t>
  </si>
  <si>
    <t>შპს გასტრო-ბისტრო</t>
  </si>
  <si>
    <t xml:space="preserve">CMR240026668  </t>
  </si>
  <si>
    <t>კვების მიწოდების მომსახურება</t>
  </si>
  <si>
    <t xml:space="preserve">CMR240027496 </t>
  </si>
  <si>
    <t>შპს ეთნო</t>
  </si>
  <si>
    <t>ი.მ. გიორგი ლეკიშვილი</t>
  </si>
  <si>
    <t xml:space="preserve">CMR240028597 </t>
  </si>
  <si>
    <t>შპს ლადონინა</t>
  </si>
  <si>
    <t xml:space="preserve">CMR240026336 </t>
  </si>
  <si>
    <t xml:space="preserve">CMR240031666 </t>
  </si>
  <si>
    <t>შპს ჯი-ემ-თი სასტუმროები</t>
  </si>
  <si>
    <t>CMR240029017</t>
  </si>
  <si>
    <t>შპს ნინიას ბაღი თბილისში</t>
  </si>
  <si>
    <t>01.02.2024</t>
  </si>
  <si>
    <t>შპს კაფე-ახვლედიანის N6</t>
  </si>
  <si>
    <t>CMR240027124</t>
  </si>
  <si>
    <t>CMR240028928</t>
  </si>
  <si>
    <t xml:space="preserve">CMR240028933 </t>
  </si>
  <si>
    <t>ი.მ. ვახტანგ ქანთარია</t>
  </si>
  <si>
    <t xml:space="preserve">CMR240028886 </t>
  </si>
  <si>
    <t>შპს აქტივიტი</t>
  </si>
  <si>
    <t>CMR240028842</t>
  </si>
  <si>
    <t>შპს თექარტი</t>
  </si>
  <si>
    <t>CMR240024560</t>
  </si>
  <si>
    <t>შპს ქართული სახლი 2030</t>
  </si>
  <si>
    <t>კერძების მომზადების მომსახურება</t>
  </si>
  <si>
    <t>CMR240025158</t>
  </si>
  <si>
    <t>CMR240025162</t>
  </si>
  <si>
    <t>ი.მ. იაგო ბიტარაშვილი</t>
  </si>
  <si>
    <t>CMR240024778</t>
  </si>
  <si>
    <t>შპს კერა რესტორანი</t>
  </si>
  <si>
    <t>CMR240025505</t>
  </si>
  <si>
    <t>ი.მ. გიორგი გოგავა</t>
  </si>
  <si>
    <t>CMR240024706</t>
  </si>
  <si>
    <t>ააიპ მცხეთა-მთიანეთის რეგიონული ჰაბი</t>
  </si>
  <si>
    <t>CMR240024980</t>
  </si>
  <si>
    <t>CMR240026037</t>
  </si>
  <si>
    <t>CMR240028891</t>
  </si>
  <si>
    <t>CMR240029051</t>
  </si>
  <si>
    <t>შპს ჯორჯია ჰოსპიტალიტი მენეჯმენტ გრუპ გუდაური</t>
  </si>
  <si>
    <t>CMR240028622</t>
  </si>
  <si>
    <t>CMR240028636</t>
  </si>
  <si>
    <t xml:space="preserve">ი.მ. გიორგი ჯაფარიძე </t>
  </si>
  <si>
    <t>CMR240028704</t>
  </si>
  <si>
    <t>შპს მთვრალი ალუბალი</t>
  </si>
  <si>
    <t>CMR240028648</t>
  </si>
  <si>
    <t>შპს ქეთო და კოტე</t>
  </si>
  <si>
    <t xml:space="preserve">CMR240026555 </t>
  </si>
  <si>
    <t xml:space="preserve">შპს გუდაური ლოფტი </t>
  </si>
  <si>
    <t>02.02.2024</t>
  </si>
  <si>
    <t xml:space="preserve">CMR240028948 </t>
  </si>
  <si>
    <t xml:space="preserve">CMR240028958 </t>
  </si>
  <si>
    <t>შპს გუდაური სქი რესორტ</t>
  </si>
  <si>
    <t>CMR240028968</t>
  </si>
  <si>
    <t>CMR240028974</t>
  </si>
  <si>
    <t>CMR240028982</t>
  </si>
  <si>
    <t>შპს გუდაური ლოფტი</t>
  </si>
  <si>
    <t>CMR240028987</t>
  </si>
  <si>
    <t>CMR240028899</t>
  </si>
  <si>
    <t xml:space="preserve">შპს ე.გ. ჰოლდინგი </t>
  </si>
  <si>
    <t>CMR240028910</t>
  </si>
  <si>
    <t>CMR240027532</t>
  </si>
  <si>
    <t xml:space="preserve">შპს სეტი + </t>
  </si>
  <si>
    <t>CMR240028916</t>
  </si>
  <si>
    <t>CMR240028920</t>
  </si>
  <si>
    <t xml:space="preserve">შპს გისტოლა </t>
  </si>
  <si>
    <t>CMR240028922</t>
  </si>
  <si>
    <t xml:space="preserve">TRAVERSE ღონისძების ფარგლებში რესტორან „ეთნოგრაფის“ ქართული ცეკვისა და მუსიკის ანსამბლის მიერ გალა ვახშმის მუსიკალური გაფორმებით უზრუნველყოფა </t>
  </si>
  <si>
    <t>CMR240028154</t>
  </si>
  <si>
    <t>CMR240028156</t>
  </si>
  <si>
    <t xml:space="preserve">ი.მ. გიორგი ლეკიშვილი </t>
  </si>
  <si>
    <t>CMR240026121</t>
  </si>
  <si>
    <t>CMR240026422</t>
  </si>
  <si>
    <t xml:space="preserve">ი.მ. ვახტანგ ქანთარია </t>
  </si>
  <si>
    <t>CMR240026283</t>
  </si>
  <si>
    <t>შპს რუმს ჰოტელს ლაბი</t>
  </si>
  <si>
    <t>CMR240025510</t>
  </si>
  <si>
    <t>შპს ჯიქეი ვაინერი</t>
  </si>
  <si>
    <t>CMR240026646</t>
  </si>
  <si>
    <t>CMR240026650</t>
  </si>
  <si>
    <t>CMR240026064</t>
  </si>
  <si>
    <t>CMR240026067</t>
  </si>
  <si>
    <t>შპს ფავორიტი სტილი</t>
  </si>
  <si>
    <t>ბეჭდვის მომსახურების შესყიდვა</t>
  </si>
  <si>
    <t>NAT230026903</t>
  </si>
  <si>
    <t>შპს ფაუდერპროჯექტ.ჯი</t>
  </si>
  <si>
    <t xml:space="preserve">CMR240032501 </t>
  </si>
  <si>
    <t xml:space="preserve">შპს ფაუდერპროჯექტ.ჯი </t>
  </si>
  <si>
    <t>CMR240032272</t>
  </si>
  <si>
    <t>შპს ვალოდიას კოტეჯი</t>
  </si>
  <si>
    <t xml:space="preserve">CMR240027979  </t>
  </si>
  <si>
    <t>შპს გუდლაინი</t>
  </si>
  <si>
    <t xml:space="preserve">CMR240029949 </t>
  </si>
  <si>
    <t>DEKORSTAND MİMARLIK DEKORASYON FUARCILIK REKLAM ORG</t>
  </si>
  <si>
    <t>საგამოფენო სტენდი EMITT 2024, - 2024 წლის 6-9 თებერვალი, თურქეთი სტამბული</t>
  </si>
  <si>
    <t>CMR240029600</t>
  </si>
  <si>
    <t>შპს გისტოლა</t>
  </si>
  <si>
    <t>CMR240028914</t>
  </si>
  <si>
    <t xml:space="preserve">CMR240025948 </t>
  </si>
  <si>
    <t xml:space="preserve">ი.მ. დავით სუჯაშვილი </t>
  </si>
  <si>
    <t xml:space="preserve">CMR240030369 </t>
  </si>
  <si>
    <t>შპს ჰბ რიკოთი</t>
  </si>
  <si>
    <t>CMR240027697</t>
  </si>
  <si>
    <t>შპს კევრი</t>
  </si>
  <si>
    <t xml:space="preserve">CMR240026406 </t>
  </si>
  <si>
    <t>05.02.2024</t>
  </si>
  <si>
    <t>CMR240031140</t>
  </si>
  <si>
    <t>შპს დები 2021</t>
  </si>
  <si>
    <t xml:space="preserve">CMR240028824 </t>
  </si>
  <si>
    <t xml:space="preserve">CMR240030904  </t>
  </si>
  <si>
    <t>ი.მ. ლაერტ ჩარკვიანი</t>
  </si>
  <si>
    <t>შპს სეტი+</t>
  </si>
  <si>
    <t xml:space="preserve">CMR240030348 </t>
  </si>
  <si>
    <t>შპს ჯეოივენთსი</t>
  </si>
  <si>
    <t>06.02.2024</t>
  </si>
  <si>
    <t>ი.მ. ელიზბარ კუტალია</t>
  </si>
  <si>
    <t xml:space="preserve">CMR240032124 </t>
  </si>
  <si>
    <t xml:space="preserve">ი.მ. ლალი ნიკოლოზიანი </t>
  </si>
  <si>
    <t>CMR240028031</t>
  </si>
  <si>
    <t>CMR240028049</t>
  </si>
  <si>
    <t xml:space="preserve">ი.მ. ლაერტ ჩარკვიანი </t>
  </si>
  <si>
    <t>CMR240029723</t>
  </si>
  <si>
    <t>ი.მ ელიზბარ კუტალია</t>
  </si>
  <si>
    <t>CMR240031573</t>
  </si>
  <si>
    <t>07.02.2024</t>
  </si>
  <si>
    <t>CMR240031165</t>
  </si>
  <si>
    <t>ი.მ. ალექსანდრე გველესიანი</t>
  </si>
  <si>
    <t>CMR240031202</t>
  </si>
  <si>
    <t>შპს პარაგრაფ თბილისი სითი</t>
  </si>
  <si>
    <t>CMR240032555</t>
  </si>
  <si>
    <t>შპს ჯორჯიან ბას</t>
  </si>
  <si>
    <t>CMR240032536</t>
  </si>
  <si>
    <t>08.02.2024</t>
  </si>
  <si>
    <t xml:space="preserve">CMR240029943 </t>
  </si>
  <si>
    <t>CMR240031243</t>
  </si>
  <si>
    <t>ი.მ. გიორგი ფალიანი</t>
  </si>
  <si>
    <t>CMR240032788</t>
  </si>
  <si>
    <t xml:space="preserve">CMR240032810 </t>
  </si>
  <si>
    <t>CMR240029074</t>
  </si>
  <si>
    <t>CMR240031732</t>
  </si>
  <si>
    <t>სს შატო მუხრანი</t>
  </si>
  <si>
    <t>CMR240031206</t>
  </si>
  <si>
    <t>CMR240031214</t>
  </si>
  <si>
    <t>CMR240032581</t>
  </si>
  <si>
    <t>CMR240031185</t>
  </si>
  <si>
    <t>CMR240031218</t>
  </si>
  <si>
    <t>შპს GramPak Georgia</t>
  </si>
  <si>
    <t>სასმელი წყალი</t>
  </si>
  <si>
    <t>09.02.2024</t>
  </si>
  <si>
    <t>CMR240032134</t>
  </si>
  <si>
    <t>Conversations Mantra Pvt. Ltd</t>
  </si>
  <si>
    <t>Satte 2024 - ნიუ დელიში, ინდოეთში საგამოფენო სტენდის აგება</t>
  </si>
  <si>
    <t>CMR240030967</t>
  </si>
  <si>
    <t>ი.მ. ლია კობახიძე</t>
  </si>
  <si>
    <t>CMR240029813</t>
  </si>
  <si>
    <t>CMR240029849</t>
  </si>
  <si>
    <t xml:space="preserve">CMR240029945 </t>
  </si>
  <si>
    <t>CMR240033670</t>
  </si>
  <si>
    <t>12.02.2024</t>
  </si>
  <si>
    <t>CMR240033220</t>
  </si>
  <si>
    <t>CMR240032111</t>
  </si>
  <si>
    <t>APL MEDIA LTD</t>
  </si>
  <si>
    <t>შპს აკ-ეარ ჯორჯია</t>
  </si>
  <si>
    <t xml:space="preserve">CMR240033428 </t>
  </si>
  <si>
    <t>195-1</t>
  </si>
  <si>
    <t>მასტერკლასი</t>
  </si>
  <si>
    <t>CMR240033431</t>
  </si>
  <si>
    <t xml:space="preserve">Traverse Events Limited </t>
  </si>
  <si>
    <t>ციფრული ღონისძიების, TRAVERSE24 ორგანიზების მომსახურება</t>
  </si>
  <si>
    <t xml:space="preserve">SIA Baltic Exposervice  </t>
  </si>
  <si>
    <t>საგამოფენო სტენდის აგების მომსახურება - ITB Berlin 2024“,  5-7 მარტი ბერლინი, გერმანია</t>
  </si>
  <si>
    <t>15.02.2024</t>
  </si>
  <si>
    <t>CMR240033024</t>
  </si>
  <si>
    <t>ი.მ. ალექსანდრე გიორგაძე</t>
  </si>
  <si>
    <t>CMR240034034</t>
  </si>
  <si>
    <t>CMR240034037</t>
  </si>
  <si>
    <t>CMR240035142</t>
  </si>
  <si>
    <t>CMR240033399</t>
  </si>
  <si>
    <t>შპს კომფორტი</t>
  </si>
  <si>
    <t>ჟალუზები თანმდევი მონტაჟით</t>
  </si>
  <si>
    <t xml:space="preserve">CMR240034743 </t>
  </si>
  <si>
    <t>CMR240033424</t>
  </si>
  <si>
    <t xml:space="preserve">CMR240033654 </t>
  </si>
  <si>
    <t>16.02.2024</t>
  </si>
  <si>
    <t>CMR240034188</t>
  </si>
  <si>
    <t>შპს ზანთარ ჯგუფი</t>
  </si>
  <si>
    <t>CMR240034040</t>
  </si>
  <si>
    <t xml:space="preserve">შპს ეთნო </t>
  </si>
  <si>
    <t>CMR240034044</t>
  </si>
  <si>
    <t>CMR240034048</t>
  </si>
  <si>
    <t>CMR240034050</t>
  </si>
  <si>
    <t>19.02.2024</t>
  </si>
  <si>
    <t>CMR240034182</t>
  </si>
  <si>
    <t>CMR240034420</t>
  </si>
  <si>
    <t>20.02.2024</t>
  </si>
  <si>
    <t>CMR240034412</t>
  </si>
  <si>
    <t xml:space="preserve">CMR240034749 </t>
  </si>
  <si>
    <t>CMR240038900</t>
  </si>
  <si>
    <t>ი.მ. მერაბი ჯანელიძე</t>
  </si>
  <si>
    <t>CMR240036674</t>
  </si>
  <si>
    <t>CMR240036542</t>
  </si>
  <si>
    <t>CMR240034194</t>
  </si>
  <si>
    <t>ფ.პ. მარიკა ბოგვერაძე</t>
  </si>
  <si>
    <t>CMR240034184</t>
  </si>
  <si>
    <t>შპს ბორჯომი-ვოთერსი</t>
  </si>
  <si>
    <t>სასმელი წყლის განაწილება</t>
  </si>
  <si>
    <t>CMR240034654</t>
  </si>
  <si>
    <t>ღონისძიება გემო ფესტი - მესტია</t>
  </si>
  <si>
    <t>CMR240034582</t>
  </si>
  <si>
    <t>CMR240034788</t>
  </si>
  <si>
    <t xml:space="preserve">CMR240034869 </t>
  </si>
  <si>
    <t xml:space="preserve">CMR240034871 </t>
  </si>
  <si>
    <t>21.02.2024</t>
  </si>
  <si>
    <t>CMR240035301</t>
  </si>
  <si>
    <t>ი.მ. ჩიტო ჭელიძე</t>
  </si>
  <si>
    <t>CMR240036748</t>
  </si>
  <si>
    <t xml:space="preserve">CMR240035017 </t>
  </si>
  <si>
    <t>შპს ბადაგი</t>
  </si>
  <si>
    <t>გამომშრალი ხილი</t>
  </si>
  <si>
    <t>CMR240037022</t>
  </si>
  <si>
    <t>22.02.2024</t>
  </si>
  <si>
    <t>CMR240037287</t>
  </si>
  <si>
    <t xml:space="preserve"> CMR240038046</t>
  </si>
  <si>
    <t>CMR240038053</t>
  </si>
  <si>
    <t>CMR240037025</t>
  </si>
  <si>
    <t>ი.მ. მაყვალა გურჩიანი</t>
  </si>
  <si>
    <t>CMR240039129</t>
  </si>
  <si>
    <t>CMR240039103</t>
  </si>
  <si>
    <t>CMR240037071</t>
  </si>
  <si>
    <t xml:space="preserve">CMR240036383 </t>
  </si>
  <si>
    <t xml:space="preserve">CMR240036390 </t>
  </si>
  <si>
    <t>CMR240036395</t>
  </si>
  <si>
    <t>Reed Exhibitions Ltd</t>
  </si>
  <si>
    <t>დუბაიში სარეკლამო კამპანიის ფარგლებში საგამოფენო სივრცეში ბანერების განთავსება</t>
  </si>
  <si>
    <t xml:space="preserve">CMR240036044 </t>
  </si>
  <si>
    <t>ი.მ. გიორგი ფარჯიანი</t>
  </si>
  <si>
    <t>23.02.2024</t>
  </si>
  <si>
    <t>CMR240038954</t>
  </si>
  <si>
    <t>CMR240038043</t>
  </si>
  <si>
    <t>ი.მ. ბაჩუკი გაბელდანი</t>
  </si>
  <si>
    <t>CMR240038645</t>
  </si>
  <si>
    <t>CMR240038647</t>
  </si>
  <si>
    <t>შპს ნიკალა</t>
  </si>
  <si>
    <t>CMR240036794</t>
  </si>
  <si>
    <t>ი.მ. თეიმურაზ შარაშიძე</t>
  </si>
  <si>
    <t>CMR240036396</t>
  </si>
  <si>
    <t>შპს სანაპირო</t>
  </si>
  <si>
    <t>CMR240037136</t>
  </si>
  <si>
    <t>The National Geographic Traveller Food Festival 2024“- მარკეტინგული კამპანია</t>
  </si>
  <si>
    <t>CMR240036046</t>
  </si>
  <si>
    <t>ფოსტა</t>
  </si>
  <si>
    <t>CMR240037573</t>
  </si>
  <si>
    <t>26.02.2024</t>
  </si>
  <si>
    <t>CMR240040351</t>
  </si>
  <si>
    <t xml:space="preserve">CMR240036756 </t>
  </si>
  <si>
    <t xml:space="preserve">CMR240037090  </t>
  </si>
  <si>
    <t xml:space="preserve">CMR240036985 </t>
  </si>
  <si>
    <t xml:space="preserve">CMR240042083 </t>
  </si>
  <si>
    <t>ააიპ ბათუმის ბოტანიკური ბაღი</t>
  </si>
  <si>
    <t>CMR240036882</t>
  </si>
  <si>
    <t>ააიპ ინკლუზიური ტურიზმის ცენტრი-პარსა</t>
  </si>
  <si>
    <t>ტრენინგის "ინკლუზიური ტურები და მისაწვდომი სერვისები შეზღუდული შესაძლებლობის მქონე პირთათვის" მომსახურება</t>
  </si>
  <si>
    <t>CMR240038301</t>
  </si>
  <si>
    <t>შპს ბპ პაკი</t>
  </si>
  <si>
    <t>ყუთები</t>
  </si>
  <si>
    <t>CMR240038268</t>
  </si>
  <si>
    <t>CMR240042105</t>
  </si>
  <si>
    <t>შპს კომპლექს კონსთრაქშენი</t>
  </si>
  <si>
    <t xml:space="preserve">თბილისის ტურიზმის საინფორმაციო (პუშკინის სკვერი) ცენტრის წყალმომარაგების ახალ აბონენტად რეგისტრაციის და გამრიცხველიანების სამუშაოები, არსებული არხის შემოწმება, მიწაში ჩადებული წყლის მილის 3 მეტრით დაგრძელების მომსახურების შესყიდვა </t>
  </si>
  <si>
    <t>ი.მ. ია ნაჭყებია</t>
  </si>
  <si>
    <t>CMR240040089</t>
  </si>
  <si>
    <t>შპს მეგრულ-ლაზური 2</t>
  </si>
  <si>
    <t>CMR240037638</t>
  </si>
  <si>
    <t>შპს გრიინ ინვესტ</t>
  </si>
  <si>
    <t>CMR240037126</t>
  </si>
  <si>
    <t>შპს საგა ფუდი</t>
  </si>
  <si>
    <t>CMR240037956</t>
  </si>
  <si>
    <t>შპს ზუ-კა</t>
  </si>
  <si>
    <t xml:space="preserve">CMR240037646 </t>
  </si>
  <si>
    <t xml:space="preserve">CMR240039920 </t>
  </si>
  <si>
    <t>27.02.2024</t>
  </si>
  <si>
    <t>CMR240041318</t>
  </si>
  <si>
    <t>შპს სანსეტი</t>
  </si>
  <si>
    <t>CMR240041286</t>
  </si>
  <si>
    <t>CMR240041249</t>
  </si>
  <si>
    <t>CMR240037925</t>
  </si>
  <si>
    <t>CMR240037819</t>
  </si>
  <si>
    <t>შპს ფუდარტი</t>
  </si>
  <si>
    <t>CMR240038213</t>
  </si>
  <si>
    <t>CMR240038696</t>
  </si>
  <si>
    <t>CMR240038260</t>
  </si>
  <si>
    <t xml:space="preserve">CMR240041014 </t>
  </si>
  <si>
    <t>CMR240042205</t>
  </si>
  <si>
    <t xml:space="preserve">SandStone Global Productions Limited a private limited </t>
  </si>
  <si>
    <t>CMR240038956</t>
  </si>
  <si>
    <t>28.02.2024</t>
  </si>
  <si>
    <t>CMR240039050</t>
  </si>
  <si>
    <t>CMR240040009</t>
  </si>
  <si>
    <t>შპს ფაფანაკი</t>
  </si>
  <si>
    <t>საჩუქრების შესყიდვა</t>
  </si>
  <si>
    <t xml:space="preserve">CMR240038391 </t>
  </si>
  <si>
    <t>29.02.2024</t>
  </si>
  <si>
    <t>CMR240041053</t>
  </si>
  <si>
    <t xml:space="preserve">ფ/პ  თეონა ზაბახიძე  </t>
  </si>
  <si>
    <t>CMR240040116</t>
  </si>
  <si>
    <t xml:space="preserve">შპს ამბასადორი კაჭრეთში </t>
  </si>
  <si>
    <t>CMR240039989</t>
  </si>
  <si>
    <t xml:space="preserve">ი.მ ელიზბარ კუტალია </t>
  </si>
  <si>
    <t>CMR240042152</t>
  </si>
  <si>
    <t xml:space="preserve">შპს “გიუაანი“ </t>
  </si>
  <si>
    <t>CMR240040555</t>
  </si>
  <si>
    <t>ი.მ. მარიამი ჟორჟოლაძე</t>
  </si>
  <si>
    <t>01.03.2024</t>
  </si>
  <si>
    <t>CMR240041110</t>
  </si>
  <si>
    <t>შპს მაგნოლია</t>
  </si>
  <si>
    <t>CMR240041569</t>
  </si>
  <si>
    <t xml:space="preserve">ი.მ ლალი ნიკოლოზიანი </t>
  </si>
  <si>
    <t>CMR240040463</t>
  </si>
  <si>
    <t xml:space="preserve">ი.მ. მალხაზ გიგანი </t>
  </si>
  <si>
    <t>CMR240041100</t>
  </si>
  <si>
    <t xml:space="preserve">შპს ,,სეტი +“ </t>
  </si>
  <si>
    <t>CMR240041935</t>
  </si>
  <si>
    <t xml:space="preserve">ი.მ გიორგი ჯაფარიძე  </t>
  </si>
  <si>
    <t>CMR240040580</t>
  </si>
  <si>
    <t>შპს აგროჰაბი</t>
  </si>
  <si>
    <t>თაფლი</t>
  </si>
  <si>
    <t>CMR240041151</t>
  </si>
  <si>
    <t>QartValley Georgian Products e.K.</t>
  </si>
  <si>
    <t>ღვინო ITB</t>
  </si>
  <si>
    <t>CMR240040418</t>
  </si>
  <si>
    <t>შპს ჭაუხი</t>
  </si>
  <si>
    <t xml:space="preserve">CMR240040826 </t>
  </si>
  <si>
    <t>CMR240042385</t>
  </si>
  <si>
    <t>ი.მ. ნინო ონაშვილი-კვიჭიძე</t>
  </si>
  <si>
    <t>CMR240040716</t>
  </si>
  <si>
    <t>შპს კარდანახი 1888</t>
  </si>
  <si>
    <t>CMR240041310</t>
  </si>
  <si>
    <t>ი.მ. ილია ქუსიკაშვილი</t>
  </si>
  <si>
    <t>CMR240041588</t>
  </si>
  <si>
    <t>სასმელების მიტანის მომსახურება</t>
  </si>
  <si>
    <t>CMR240041609</t>
  </si>
  <si>
    <t xml:space="preserve">CMR240041063 </t>
  </si>
  <si>
    <t>CMR240041070</t>
  </si>
  <si>
    <t>CMR240040479</t>
  </si>
  <si>
    <t>CMR240041085</t>
  </si>
  <si>
    <t>ი.მ. ბექა ბურდული</t>
  </si>
  <si>
    <t xml:space="preserve"> CMR240041077</t>
  </si>
  <si>
    <t>CMR240041575</t>
  </si>
  <si>
    <t>CMR240041579</t>
  </si>
  <si>
    <t>04.03.2024</t>
  </si>
  <si>
    <t>CMR240040631</t>
  </si>
  <si>
    <t>სს საქართველოს სასტუმროები და სპა</t>
  </si>
  <si>
    <t xml:space="preserve">CMR240043734 </t>
  </si>
  <si>
    <t xml:space="preserve">შპს ბუტიკი ქუთაისი </t>
  </si>
  <si>
    <t>CMR240042801</t>
  </si>
  <si>
    <t xml:space="preserve">CMR240043154 </t>
  </si>
  <si>
    <t>ფ.პ. ილია ბერულავა</t>
  </si>
  <si>
    <t>CMR240043729</t>
  </si>
  <si>
    <t>05.03.2024</t>
  </si>
  <si>
    <t>CMR240043139</t>
  </si>
  <si>
    <t>შპს აკადემია კოლაბი</t>
  </si>
  <si>
    <t>სასწავლო კურსის "სოცმედიის როლი ტურიზმში" - ტრენინგის მომსახურება</t>
  </si>
  <si>
    <t>CMR240042220</t>
  </si>
  <si>
    <t>შპს მოზაიკა პლიუსი</t>
  </si>
  <si>
    <t>ბრენდირებული სასაჩუქრე ნაკრების  დიზაინისა და კონცეფციის მომსახურების შესყიდვა</t>
  </si>
  <si>
    <t>CMR240042223</t>
  </si>
  <si>
    <t>შპს კლი-არტი</t>
  </si>
  <si>
    <t>ვიდეოგრაფიკის დამზადების მომსახურება</t>
  </si>
  <si>
    <t>CMR240041382</t>
  </si>
  <si>
    <t>პორტალის ტექნიკური მხარდაჭერა, დამატებითი ფუნქციონალის ჩაშენება</t>
  </si>
  <si>
    <t>CMR240041390</t>
  </si>
  <si>
    <t>საინფორმაციო ვიდეოს შექმნის მომსახურება</t>
  </si>
  <si>
    <t>ი.მ. ლილე მაღლაფერიძე</t>
  </si>
  <si>
    <t>06.03.2024</t>
  </si>
  <si>
    <t>CMR240041454</t>
  </si>
  <si>
    <t>CMR240042133</t>
  </si>
  <si>
    <t>CMR240043097</t>
  </si>
  <si>
    <t xml:space="preserve">ATM 2024 - 6-9 მაისი, დუბაი, გაერთიანებული საიმიროები სტენდის აშენების მომსახურება </t>
  </si>
  <si>
    <t>07.03.2024</t>
  </si>
  <si>
    <t>შპს ვიზიო</t>
  </si>
  <si>
    <t>გემო ფესტის ფარგლებში ვიდეო რგოლის გადაღების მომსახურება</t>
  </si>
  <si>
    <t>CMR240045463</t>
  </si>
  <si>
    <t>გამომშრალი ხილი (ჩირის დაფა)</t>
  </si>
  <si>
    <t xml:space="preserve">CMR240042176 </t>
  </si>
  <si>
    <t>შპს ტერმინალ ვესტ თრეიდინგი</t>
  </si>
  <si>
    <t>ყავის აპარატის საწმენდი</t>
  </si>
  <si>
    <t xml:space="preserve">CMR240045165 </t>
  </si>
  <si>
    <t>CMR240043514</t>
  </si>
  <si>
    <t>CMR240045377</t>
  </si>
  <si>
    <t>09.03.2024</t>
  </si>
  <si>
    <t>CMR240045557</t>
  </si>
  <si>
    <t>შპს შავი ლომი</t>
  </si>
  <si>
    <t>13.03.2024</t>
  </si>
  <si>
    <t xml:space="preserve"> CMR240050865</t>
  </si>
  <si>
    <t>CMR240046112</t>
  </si>
  <si>
    <t>CMR240046385</t>
  </si>
  <si>
    <t>შპს ასტორია</t>
  </si>
  <si>
    <t>ყავის შესვენების მიწოდების მომსახურება</t>
  </si>
  <si>
    <t>CMR240045345</t>
  </si>
  <si>
    <t>ერთჯერადი ჭიქები - 500 ცალი</t>
  </si>
  <si>
    <t>15.03.2024</t>
  </si>
  <si>
    <t xml:space="preserve">CMR240046752 </t>
  </si>
  <si>
    <t>შპს მუსიკ რუმ</t>
  </si>
  <si>
    <t>სალამური</t>
  </si>
  <si>
    <t>CMR240045506</t>
  </si>
  <si>
    <t xml:space="preserve">ორი ყაბალახის შესყიდვა </t>
  </si>
  <si>
    <t xml:space="preserve">CMR240045521 </t>
  </si>
  <si>
    <t>შპს ისტორიალი</t>
  </si>
  <si>
    <t>სამკაული (ბეჭედი)</t>
  </si>
  <si>
    <t>CMR240046512</t>
  </si>
  <si>
    <t>18.03.2024</t>
  </si>
  <si>
    <t>CMR240046540</t>
  </si>
  <si>
    <t>CROSS CONCEPT DMCC</t>
  </si>
  <si>
    <t>CMR240046742</t>
  </si>
  <si>
    <t xml:space="preserve">Whiteshark Entertainment (P) Ltd  </t>
  </si>
  <si>
    <t xml:space="preserve">საგამოფენო სტენდის აგება - KITF 2024 - Kazakhstan, Almaty - 24-26 April </t>
  </si>
  <si>
    <t>19.03.2024</t>
  </si>
  <si>
    <t>CMR240046895</t>
  </si>
  <si>
    <t>26.03.2024</t>
  </si>
  <si>
    <t>CMR240050183</t>
  </si>
  <si>
    <t>შპს წინანდლის მამულები</t>
  </si>
  <si>
    <t>CMR240050935</t>
  </si>
  <si>
    <t>342/1</t>
  </si>
  <si>
    <t xml:space="preserve">CMR240056002 </t>
  </si>
  <si>
    <t>შპს პისიშოპ.ჯი</t>
  </si>
  <si>
    <t>გარე მყარი დისკის შესყიდვა</t>
  </si>
  <si>
    <t>29.03.2024</t>
  </si>
  <si>
    <t>CMR240053316</t>
  </si>
  <si>
    <t>შპს ნაკვალევი</t>
  </si>
  <si>
    <t>თუშეთის, სიონისა და ბოჭორმის ციხის სამთო-საფეხმავალო ბილიკების მონიშვნა და ინფრასტრუქტურის მოწყობითი სამუშაოები</t>
  </si>
  <si>
    <t>01.04.2024</t>
  </si>
  <si>
    <t>NAT240004402</t>
  </si>
  <si>
    <t>თრუსოს ხეობის, გუდაურის, კარკუჩა, არშის ჩანჩქერისა და ციხის სამთო-საფეხმავლო ბილიკების მონიშვნისა და ინფრასტრუქტურის მოწყობის სამუშაოები</t>
  </si>
  <si>
    <t>NAT240004418</t>
  </si>
  <si>
    <t>შპს ვიფიშერი</t>
  </si>
  <si>
    <t>უკუკავშირის ელექტრონული კითვარების ვებ-გვერდზე გადამისამარების მომსახურება</t>
  </si>
  <si>
    <t xml:space="preserve">საქართველოს კანონის სახელმწიფო შესყიდვების შესახებ, მე-10/1 მუხლის 3  პუნქტის "ა" ქვეპუნქტისა და საქართველოს 
მთავრობის 2024 წლის 25 მარტის  N955 განკარგულების საფუძველზე (SMP240000791)
</t>
  </si>
  <si>
    <t>CMR240055170</t>
  </si>
  <si>
    <t xml:space="preserve">CMR240053565 </t>
  </si>
  <si>
    <t xml:space="preserve">პორტალზე წვდომა Arabian Trravel Market - ის ფარგლებში </t>
  </si>
  <si>
    <t>CMR240052830</t>
  </si>
  <si>
    <t>02.04.2024</t>
  </si>
  <si>
    <t xml:space="preserve">CMR240053622 </t>
  </si>
  <si>
    <t>CMR240056082</t>
  </si>
  <si>
    <t>CMR240056090</t>
  </si>
  <si>
    <t>საპონი</t>
  </si>
  <si>
    <t>CMR240057480</t>
  </si>
  <si>
    <t>ტილოები და ღრუბელი</t>
  </si>
  <si>
    <t>პარკი</t>
  </si>
  <si>
    <t>მტვერსასრუტის აქსესუარები</t>
  </si>
  <si>
    <t>სარეცხი საშუალებები</t>
  </si>
  <si>
    <t>CMR240054688</t>
  </si>
  <si>
    <t>CMR240054704</t>
  </si>
  <si>
    <t>ტალახის საბურავები</t>
  </si>
  <si>
    <t>CON240000049</t>
  </si>
  <si>
    <t>CON240000049-00008</t>
  </si>
  <si>
    <t>03.04.2024</t>
  </si>
  <si>
    <t>CMR240054140</t>
  </si>
  <si>
    <t>სს ბორჯომი ლიკანი ინტერნეიშენალი</t>
  </si>
  <si>
    <t>CMR240055252</t>
  </si>
  <si>
    <t>CMR240053628</t>
  </si>
  <si>
    <t>CMR240053703</t>
  </si>
  <si>
    <t>შპს არგო მენეჯმენტი</t>
  </si>
  <si>
    <t>CMR240056989</t>
  </si>
  <si>
    <t>შპს ვუდენ მანქი</t>
  </si>
  <si>
    <t>მოიარე საქართველოს ფარგლებში სარეკლამო კამპანია</t>
  </si>
  <si>
    <t>04.04.2024</t>
  </si>
  <si>
    <t>CMR240055395</t>
  </si>
  <si>
    <t>CMR240058118</t>
  </si>
  <si>
    <t>CMR240055523</t>
  </si>
  <si>
    <t>CMR240056101</t>
  </si>
  <si>
    <t xml:space="preserve">MESH DIL HIZMETLERI EGITIM DANISMANLIK VE TICARET LIMITED SIRKETI PENDIK SUBESI </t>
  </si>
  <si>
    <t>თარჯიმნის მომსახურება თურქეთში - სტამბულში</t>
  </si>
  <si>
    <t>CMR240054788</t>
  </si>
  <si>
    <t xml:space="preserve">შპს რუმს ჰოტელს ლაბი </t>
  </si>
  <si>
    <t>CMR240055792</t>
  </si>
  <si>
    <t xml:space="preserve">შპს ზუ-კა  </t>
  </si>
  <si>
    <t>05.04.2024</t>
  </si>
  <si>
    <t>CMR240056164</t>
  </si>
  <si>
    <t xml:space="preserve">შპს ჯობს.გე </t>
  </si>
  <si>
    <t>ვებ-გვერდზე www.jobs.ge განცხადების გამოქვეყნების მომსახურების შესყიდვა</t>
  </si>
  <si>
    <t>CMR240056389</t>
  </si>
  <si>
    <t xml:space="preserve"> ა(ა)იპ საქართველოს წითელი ჯვრის საზოგადოება </t>
  </si>
  <si>
    <t xml:space="preserve"> „პირველადი სამედიცინო დახმარების“ შემსწავლელი კურსების უზრუნველყოფის მიზნით სატრენინგო მომსახურების შესყიდვა</t>
  </si>
  <si>
    <t>CMR240057983</t>
  </si>
  <si>
    <t>10.04.2024</t>
  </si>
  <si>
    <t xml:space="preserve">CMR240058072 </t>
  </si>
  <si>
    <t>შპს კაფეტერია</t>
  </si>
  <si>
    <t>CMR240058757</t>
  </si>
  <si>
    <t>შპს     ვარციხე მარანი</t>
  </si>
  <si>
    <t>CMR240058742</t>
  </si>
  <si>
    <t>შპს ვარციხე მარანი</t>
  </si>
  <si>
    <t>11.04.2024</t>
  </si>
  <si>
    <t>CMR240058752</t>
  </si>
  <si>
    <t>CMR240061011</t>
  </si>
  <si>
    <t>შპს SANDIKO</t>
  </si>
  <si>
    <t>ბრენდირებული სასაჩუქრე მასალა</t>
  </si>
  <si>
    <t>NAT240004422</t>
  </si>
  <si>
    <t>ვებ-გვერდის GNT.GE-ს განახლების მომსახურება</t>
  </si>
  <si>
    <t>NAT240004973</t>
  </si>
  <si>
    <t>CMR240057585</t>
  </si>
  <si>
    <t>MBA FOOD FACTORY GIDA DANISMANLIK EGITIM SANAYI VE TICARET LIMITED SIRKETI</t>
  </si>
  <si>
    <t xml:space="preserve">TURSAB (Association of Turkish Travel Agencies) - ის ფარგლებში კვების ფარგლებში </t>
  </si>
  <si>
    <t>12.04.2024</t>
  </si>
  <si>
    <t>CMR240061101</t>
  </si>
  <si>
    <t>15.04.2024</t>
  </si>
  <si>
    <t>CMR240060744</t>
  </si>
  <si>
    <t xml:space="preserve">CMR240059279  </t>
  </si>
  <si>
    <t>CMR240060076</t>
  </si>
  <si>
    <t xml:space="preserve">Renault Sandero - ტექნიკური მომსახურება </t>
  </si>
  <si>
    <t>16.04.2024</t>
  </si>
  <si>
    <t>CMR240059384</t>
  </si>
  <si>
    <t>19.04.2024</t>
  </si>
  <si>
    <t>CMR240061505</t>
  </si>
  <si>
    <t>შპს შუშის სახლი</t>
  </si>
  <si>
    <t>სარკე</t>
  </si>
  <si>
    <t>CMR240063696</t>
  </si>
  <si>
    <t>CMR240062110</t>
  </si>
  <si>
    <t>შპს ქართული ღვინის კოოპერაცია</t>
  </si>
  <si>
    <t>ღვინო</t>
  </si>
  <si>
    <t>CMR240061768</t>
  </si>
  <si>
    <t>Jamie Oliver Limited</t>
  </si>
  <si>
    <t>სარეკლამო კამპანია</t>
  </si>
  <si>
    <t>CMR240061694</t>
  </si>
  <si>
    <t>შპს აჭარა ჰოტელს</t>
  </si>
  <si>
    <t>CMR240065992</t>
  </si>
  <si>
    <t>შპს სამოსელი პირველი</t>
  </si>
  <si>
    <t>22.04.2024</t>
  </si>
  <si>
    <t xml:space="preserve">CMR240061723 </t>
  </si>
  <si>
    <t>შპს იუნიქი</t>
  </si>
  <si>
    <t>საჩუქრების შესყიდვა (პერანგის სამაგრი)</t>
  </si>
  <si>
    <t xml:space="preserve">CMR240061800 </t>
  </si>
  <si>
    <t>შპს ზოდი პლიუსი</t>
  </si>
  <si>
    <t>ლამინატი</t>
  </si>
  <si>
    <t>CMR240064346</t>
  </si>
  <si>
    <t>CMR240065501</t>
  </si>
  <si>
    <t>CMR240065225</t>
  </si>
  <si>
    <t>შპს მაქრო ტურიზმ</t>
  </si>
  <si>
    <t>CMR240065525</t>
  </si>
  <si>
    <t>CMR240065201</t>
  </si>
  <si>
    <t xml:space="preserve"> KITF 2024 - Kazakhstan, Almaty - ის ფარგლებში - 24-26 April ღვინის შესყიდვა  </t>
  </si>
  <si>
    <t>23.04.2024</t>
  </si>
  <si>
    <t>CMR240062978</t>
  </si>
  <si>
    <t>CMR240065480</t>
  </si>
  <si>
    <t xml:space="preserve">CMR240065637 </t>
  </si>
  <si>
    <t>CMR240065505</t>
  </si>
  <si>
    <t>CMR240065529</t>
  </si>
  <si>
    <t xml:space="preserve">CMR240063030 </t>
  </si>
  <si>
    <t>შპს ძველი სიღნაღი</t>
  </si>
  <si>
    <t>CMR240065473</t>
  </si>
  <si>
    <t>შპს ქედელი ველი</t>
  </si>
  <si>
    <t>CMR240065530</t>
  </si>
  <si>
    <t>CMR240065384</t>
  </si>
  <si>
    <t>CMR240063260</t>
  </si>
  <si>
    <t>CMR240063006</t>
  </si>
  <si>
    <t>შპს საქართველოს მარკეტინგული და კრეატიული კონსულტაციის სააგენტო</t>
  </si>
  <si>
    <t>სარეკლამო კამპანია (მზის კარი)</t>
  </si>
  <si>
    <t>სახელმწიფო შესყიდვების შესახებ საქართველოს კანონის მე-101 მუხლის მე-3 პუნქტის ’’ვ’’ ქვეპუნქტის შესაბამისად</t>
  </si>
  <si>
    <t>CMR240063292</t>
  </si>
  <si>
    <t>24.04.2024</t>
  </si>
  <si>
    <t>CMR240065261</t>
  </si>
  <si>
    <t>CMR240065981</t>
  </si>
  <si>
    <t xml:space="preserve">შპს გასტრო-ბისტრო </t>
  </si>
  <si>
    <t>CMR240065379</t>
  </si>
  <si>
    <t>შპს ფუდმარტი </t>
  </si>
  <si>
    <t xml:space="preserve">საწმენდი და საპრიალებელი პროდუქცია </t>
  </si>
  <si>
    <t>საქართველოს კანონი სახელმწიფო შესყიდვების შესახებ, მე-3 მუხლის 1-ლი  პუნქტის "ს1" ქვეპუნქტის შესაბამისად</t>
  </si>
  <si>
    <t>CMR240067430</t>
  </si>
  <si>
    <t xml:space="preserve">შპს აჭარა ჰოტელს </t>
  </si>
  <si>
    <t>CMR240063290</t>
  </si>
  <si>
    <t xml:space="preserve">შპს ფავორიტი სტილი </t>
  </si>
  <si>
    <t>ავეჯის შეკეთება და ტექნიკური მომსახურება</t>
  </si>
  <si>
    <t>CMR240067468</t>
  </si>
  <si>
    <t>შპს ხოხბის ცრემლების რესტორანი</t>
  </si>
  <si>
    <t>25.04.2024</t>
  </si>
  <si>
    <t>CMR240065536</t>
  </si>
  <si>
    <t>საგამოფენო სტენდის აგების მომსახურება</t>
  </si>
  <si>
    <t xml:space="preserve">საქართველოს კანონის სახელმწიფო შესყიდვების შესახებ, მე-10/1 მუხლის 3  პუნქტის "დ" ქვეპუნქტისა და საქართველოს მთავრობის 2023 წლის 25 დეკემბერი N23758 განკარგულების საფუძველზე (SMP230002809)           </t>
  </si>
  <si>
    <t>CMR240063837</t>
  </si>
  <si>
    <t>26.04.2024</t>
  </si>
  <si>
    <t>სახელმწიფო შესყიდვების შესახებ საქართველოს კანონის მე-10/1 მუხლის მე-3 პუნქტის ’’ვ’’ ქვეპუნქტის შესაბამისად</t>
  </si>
  <si>
    <t xml:space="preserve">CMR240065791 </t>
  </si>
  <si>
    <t xml:space="preserve">ი.მ ანდრო ბურდული  </t>
  </si>
  <si>
    <t>CMR240065367</t>
  </si>
  <si>
    <t xml:space="preserve">ი.მ. გიორგი ფარჯიანი </t>
  </si>
  <si>
    <t>CMR240065387</t>
  </si>
  <si>
    <t xml:space="preserve">ი.მ თეიმურაზ პოპიაშვილი </t>
  </si>
  <si>
    <t>CMR240065757</t>
  </si>
  <si>
    <t xml:space="preserve">ი.მ თათია მიხელიძე  </t>
  </si>
  <si>
    <t>CMR240065588</t>
  </si>
  <si>
    <t>CMR240065591</t>
  </si>
  <si>
    <t xml:space="preserve">შპს ქვევრები  </t>
  </si>
  <si>
    <t>CMR240067898</t>
  </si>
  <si>
    <t xml:space="preserve">ი.მ. ქართველა ჭაბაშვილი  </t>
  </si>
  <si>
    <t xml:space="preserve">CMR240066150 </t>
  </si>
  <si>
    <t xml:space="preserve">ფ.პ ანა შანშიაშვილი </t>
  </si>
  <si>
    <t>ქართული კულტურის ელემენტების სიმბოლიკით ახალი სასუვენირე ბრენდის შექმნისთვის საკოსულტაციო მომსახურების შესყიდვა</t>
  </si>
  <si>
    <t>29.04.2024</t>
  </si>
  <si>
    <t>CMR240067854</t>
  </si>
  <si>
    <t xml:space="preserve">ი.მ. ია ღებრანძე </t>
  </si>
  <si>
    <t>30.04.2024</t>
  </si>
  <si>
    <t>CMR240068489</t>
  </si>
  <si>
    <t xml:space="preserve">ი.მ. მაკა თორდინავა </t>
  </si>
  <si>
    <t>CMR240068518</t>
  </si>
  <si>
    <t>შპს გაბო</t>
  </si>
  <si>
    <t>CMR240069056</t>
  </si>
  <si>
    <t>01.05.2024</t>
  </si>
  <si>
    <t>CMR240068496</t>
  </si>
  <si>
    <t xml:space="preserve">Spectrum Exhibition Fixing LLC </t>
  </si>
  <si>
    <t xml:space="preserve">საგამოფენო სტენდის აგება - Riyadh Travel Fair 2024 - Saudi Arabia, Riyadh - 27-29 May </t>
  </si>
  <si>
    <t>02.05.2024</t>
  </si>
  <si>
    <t>CMR240067980</t>
  </si>
  <si>
    <t>სარეკლამო კამპანია გემო ფესტი</t>
  </si>
  <si>
    <t>CMR240068295</t>
  </si>
  <si>
    <t>06.05.2024</t>
  </si>
  <si>
    <t>CMR240069312</t>
  </si>
  <si>
    <t>ი.მ. ქართველა ჭაბაშვილი</t>
  </si>
  <si>
    <t>CMR240068968</t>
  </si>
  <si>
    <t xml:space="preserve">CMR240068973  </t>
  </si>
  <si>
    <t>შპს ქართული გასტრონომია</t>
  </si>
  <si>
    <t>07.05.2024</t>
  </si>
  <si>
    <t>CMR240068799</t>
  </si>
  <si>
    <t>CMR240068808</t>
  </si>
  <si>
    <t>ააიპ ლადო გუდიაშვილის ფონდი</t>
  </si>
  <si>
    <t>მუზეუმების მომსახურება</t>
  </si>
  <si>
    <t>CMR240068815</t>
  </si>
  <si>
    <t>შპს დალოოდ-კაფე</t>
  </si>
  <si>
    <t>CMR240069751</t>
  </si>
  <si>
    <t>CMR240069776</t>
  </si>
  <si>
    <t>შპს კიკეთის ფერმის ღვინო</t>
  </si>
  <si>
    <t>CMR240069340</t>
  </si>
  <si>
    <t>CMR240068836</t>
  </si>
  <si>
    <t>ფ,პ, ლეილა გიორგაძე</t>
  </si>
  <si>
    <t>09.05.2024</t>
  </si>
  <si>
    <t>CMR240068878</t>
  </si>
  <si>
    <t>CMR240068798</t>
  </si>
  <si>
    <t>CMR240068816</t>
  </si>
  <si>
    <t>CMR240068822</t>
  </si>
  <si>
    <t>10.05.2024</t>
  </si>
  <si>
    <t>CMR240069699</t>
  </si>
  <si>
    <t>შპს ჯი ემ თი სასტუმროები</t>
  </si>
  <si>
    <t>12.05.2024</t>
  </si>
  <si>
    <t>CMR240073596</t>
  </si>
  <si>
    <t>13.05.2024</t>
  </si>
  <si>
    <t>CMR240072856</t>
  </si>
  <si>
    <t>CMR240072847</t>
  </si>
  <si>
    <t xml:space="preserve">CMR240074450 </t>
  </si>
  <si>
    <t>CMR240071911</t>
  </si>
  <si>
    <t>CMR240070815</t>
  </si>
  <si>
    <t>შპს ლივინგ რუთს რენჩ</t>
  </si>
  <si>
    <t xml:space="preserve">CMR240071922 </t>
  </si>
  <si>
    <t>დეგუსტაცია</t>
  </si>
  <si>
    <t>CMR240071930</t>
  </si>
  <si>
    <t>შპს ედიბლ კავკასია</t>
  </si>
  <si>
    <t>CMR240070967</t>
  </si>
  <si>
    <t>სს ელიტ ელექტრონიქსი</t>
  </si>
  <si>
    <t>კედლის კონდიციონერი</t>
  </si>
  <si>
    <t>14.05.2024</t>
  </si>
  <si>
    <t>CMR240074054</t>
  </si>
  <si>
    <t>ი.მ. არტურ სტეფანიანი</t>
  </si>
  <si>
    <t>პროგრამული უზრუნველყოფის შემუშავება</t>
  </si>
  <si>
    <t>15.05.2024</t>
  </si>
  <si>
    <t>CMR240070443</t>
  </si>
  <si>
    <t>CMR240070945</t>
  </si>
  <si>
    <t>CMR240070946</t>
  </si>
  <si>
    <t>CMR240070812</t>
  </si>
  <si>
    <t>საგამოფენო სტენდის ტრანსპორტირება</t>
  </si>
  <si>
    <t xml:space="preserve">CMR240071545 </t>
  </si>
  <si>
    <t>Sunbul Catering LLC</t>
  </si>
  <si>
    <t>კვებით უზრუნველყოფა ბაქოში 26 მაისს მიძღვნილ ღონისზიებაზე</t>
  </si>
  <si>
    <t>16.05.2024</t>
  </si>
  <si>
    <t>CMR240072059</t>
  </si>
  <si>
    <t>ზონალური პარკირება - 4 მანქანაზე</t>
  </si>
  <si>
    <t xml:space="preserve">CMR240071550 </t>
  </si>
  <si>
    <t>CMR240072611</t>
  </si>
  <si>
    <t>CMR240070943</t>
  </si>
  <si>
    <t>ი.მ. თამარ მილორავა</t>
  </si>
  <si>
    <t>CMR240071825</t>
  </si>
  <si>
    <t>CMR240071836</t>
  </si>
  <si>
    <t>CMR240072876</t>
  </si>
  <si>
    <t>CMR240071314</t>
  </si>
  <si>
    <t>აკუმულატორი</t>
  </si>
  <si>
    <t>შპს კომუნალ ჰოსფითალითი</t>
  </si>
  <si>
    <t>CMR240073385</t>
  </si>
  <si>
    <t>CMR240073710</t>
  </si>
  <si>
    <t>CMR240073615</t>
  </si>
  <si>
    <t>შპს ოქროსთან</t>
  </si>
  <si>
    <t>CMR240072880</t>
  </si>
  <si>
    <t>შპს ბადაგონის სახლი</t>
  </si>
  <si>
    <t>CMR240072638</t>
  </si>
  <si>
    <t>CMR240072630</t>
  </si>
  <si>
    <t>CMR240072063</t>
  </si>
  <si>
    <t>შპს კულინარიუმი</t>
  </si>
  <si>
    <t>CMR240073652</t>
  </si>
  <si>
    <t>შპს გუდა</t>
  </si>
  <si>
    <t>CMR240071941</t>
  </si>
  <si>
    <t>CMR240074670</t>
  </si>
  <si>
    <t>შპს ღვინის კომპანია შუში</t>
  </si>
  <si>
    <t>CMR240072194</t>
  </si>
  <si>
    <t>CMR240071147</t>
  </si>
  <si>
    <t>CMR240075818</t>
  </si>
  <si>
    <t>შპს ორი მარანი</t>
  </si>
  <si>
    <t>CMR240073274</t>
  </si>
  <si>
    <t>CMR240073277</t>
  </si>
  <si>
    <t>CMR240072487</t>
  </si>
  <si>
    <t>შპს კასს 5</t>
  </si>
  <si>
    <t>CMR240074412</t>
  </si>
  <si>
    <t>CMR240072031</t>
  </si>
  <si>
    <t xml:space="preserve">შპს წინანდალი </t>
  </si>
  <si>
    <t>CMR240075172</t>
  </si>
  <si>
    <t>ტივით გასეირნება</t>
  </si>
  <si>
    <t>CMR240076361</t>
  </si>
  <si>
    <t xml:space="preserve">CMR240073437 </t>
  </si>
  <si>
    <t>CMR240074426</t>
  </si>
  <si>
    <t xml:space="preserve">CMR240073446 </t>
  </si>
  <si>
    <t xml:space="preserve">CMR240073888 </t>
  </si>
  <si>
    <t>შპს იბერვაიანი საქართველო</t>
  </si>
  <si>
    <t>19.05.2024</t>
  </si>
  <si>
    <t>CMR240073418</t>
  </si>
  <si>
    <t>შპს ჭრებალოს მარანი</t>
  </si>
  <si>
    <t>CMR240073441</t>
  </si>
  <si>
    <t>ი.მ. ანა ენუქიძე</t>
  </si>
  <si>
    <t xml:space="preserve">CMR240073599 </t>
  </si>
  <si>
    <t>ი.მ. აკაკი ეზიეშვილი</t>
  </si>
  <si>
    <t>CMR240075308</t>
  </si>
  <si>
    <t>CMR240075717</t>
  </si>
  <si>
    <t>შპს ვანილა ივენთსი</t>
  </si>
  <si>
    <t>26 მაისი - ღონისძიება ამბროლაური</t>
  </si>
  <si>
    <t>20.05.2024</t>
  </si>
  <si>
    <t>საქართველოს კანონის სახელმწიფო შესყიდვების შესახებ, მე-10/1 მუხლის 3  პუნქტის "დ" ქვეპუნქტისა და საქართველოს მთავრობის 2024 წლის 20 მაისის N681 განკარგულების საფუძველზე (SMP240001161)</t>
  </si>
  <si>
    <t>CMR240074358</t>
  </si>
  <si>
    <t xml:space="preserve">შპს მინი ივენთს </t>
  </si>
  <si>
    <t>26 მაისი - ღონისძიება მესტია</t>
  </si>
  <si>
    <t>CMR240074333</t>
  </si>
  <si>
    <t xml:space="preserve">სსიპ ფინანსთა სამინისტროს აკადემია </t>
  </si>
  <si>
    <t>ტრენინგის მომსახურება</t>
  </si>
  <si>
    <t>CMR240072230</t>
  </si>
  <si>
    <t>შპს იბერვაიანი</t>
  </si>
  <si>
    <t>CMR240073302</t>
  </si>
  <si>
    <t>შპს ნაბერაული ვაინს</t>
  </si>
  <si>
    <t>CMR240073244</t>
  </si>
  <si>
    <t xml:space="preserve">CMR240079208 </t>
  </si>
  <si>
    <t xml:space="preserve">CMR240073898 </t>
  </si>
  <si>
    <t>21.05.2024</t>
  </si>
  <si>
    <t>CMR240072596</t>
  </si>
  <si>
    <t>ნიგოზი</t>
  </si>
  <si>
    <t>03222000</t>
  </si>
  <si>
    <t>CMR240072599</t>
  </si>
  <si>
    <t>შპს ქართული ღვინის ლაბი</t>
  </si>
  <si>
    <t>CMR240072447</t>
  </si>
  <si>
    <t xml:space="preserve">შპს ორმეთი </t>
  </si>
  <si>
    <t>ღვინის გზის პროექტი</t>
  </si>
  <si>
    <t>შპს სოთო</t>
  </si>
  <si>
    <t xml:space="preserve">CMR240074730 </t>
  </si>
  <si>
    <t>CMR240074655</t>
  </si>
  <si>
    <t>შპს ნოუ ბარ რაჭა</t>
  </si>
  <si>
    <t xml:space="preserve">CMR240075701  </t>
  </si>
  <si>
    <t>22.05.2024</t>
  </si>
  <si>
    <t>სერვერის მომსახურება</t>
  </si>
  <si>
    <t>CMR240077370</t>
  </si>
  <si>
    <t xml:space="preserve">B. C. SYMA EXHIBITION CONTRACTORS LTD  </t>
  </si>
  <si>
    <t>ჩინეთში შანხაიში, სტენდის აგების მომსახურება</t>
  </si>
  <si>
    <t>23.05.2024</t>
  </si>
  <si>
    <t>CMR240075930</t>
  </si>
  <si>
    <t>CMR240076669</t>
  </si>
  <si>
    <t>შპს ენელკო</t>
  </si>
  <si>
    <t>CMR240074654</t>
  </si>
  <si>
    <t>24.05.2024</t>
  </si>
  <si>
    <t>CMR240074656</t>
  </si>
  <si>
    <t>შპს იბერ-ინფო</t>
  </si>
  <si>
    <t>პროგრმული მომსახურება</t>
  </si>
  <si>
    <t>CMR240076396</t>
  </si>
  <si>
    <t>CMR240076566</t>
  </si>
  <si>
    <t>CMR240076684</t>
  </si>
  <si>
    <t>CMR240076673</t>
  </si>
  <si>
    <t>CMR240076693</t>
  </si>
  <si>
    <t>შპს იბერვაინი</t>
  </si>
  <si>
    <t>CMR240075565</t>
  </si>
  <si>
    <t>CMR240075572</t>
  </si>
  <si>
    <t>შპს სი თი აუტო</t>
  </si>
  <si>
    <t>CMR240075685</t>
  </si>
  <si>
    <t>ააიპ საქართველოს სომელიეთა ასოციაცია</t>
  </si>
  <si>
    <t xml:space="preserve">სატრენინგო მომსახურება </t>
  </si>
  <si>
    <t>28.05.2024</t>
  </si>
  <si>
    <t>CMR240077228</t>
  </si>
  <si>
    <t>CMR240078461</t>
  </si>
  <si>
    <t xml:space="preserve">CMR240078794 </t>
  </si>
  <si>
    <t xml:space="preserve">CMR240078495 </t>
  </si>
  <si>
    <t xml:space="preserve">CMR240079723 </t>
  </si>
  <si>
    <t>30.05.2024</t>
  </si>
  <si>
    <t>CMR240078505</t>
  </si>
  <si>
    <t>CMR240080789</t>
  </si>
  <si>
    <t>The Brand Communication Agency Ltd</t>
  </si>
  <si>
    <r>
      <t>National Geographic Traveller Food Festival 2024“</t>
    </r>
    <r>
      <rPr>
        <sz val="8"/>
        <color theme="1"/>
        <rFont val="Sylfaen"/>
        <family val="1"/>
      </rPr>
      <t xml:space="preserve">, რომელიც გაიმართება 2024 წლის 20-21 ივლისს ლონდონში, დიდ ბრიტანეთში - სტენდის აგების მომსახურება. </t>
    </r>
  </si>
  <si>
    <t>31.05.2024</t>
  </si>
  <si>
    <t>CMR240079263</t>
  </si>
  <si>
    <t xml:space="preserve">CMR240079675 </t>
  </si>
  <si>
    <t>CMR240078686</t>
  </si>
  <si>
    <t>CMR240078745</t>
  </si>
  <si>
    <t>CMR240078658</t>
  </si>
  <si>
    <t>03.06.2024</t>
  </si>
  <si>
    <t>CMR240079116</t>
  </si>
  <si>
    <t>ი.მ. სერგო მურუსიძე</t>
  </si>
  <si>
    <t>კედლის კონდიციონერის გაწმენდა და ფრეონით შევსება</t>
  </si>
  <si>
    <t xml:space="preserve">CMR240079069 </t>
  </si>
  <si>
    <t>შპს ულტრა</t>
  </si>
  <si>
    <t>05.06.2024</t>
  </si>
  <si>
    <t>CMR240081934</t>
  </si>
  <si>
    <t>შპს ოლპრინტჯი</t>
  </si>
  <si>
    <t>გემო ფესტის ფარგლებში მუსიკალური ნაწილის უზრუნველყოფა</t>
  </si>
  <si>
    <t>06.06.2024</t>
  </si>
  <si>
    <t>CMR240081380</t>
  </si>
  <si>
    <t>შპს აბქომ</t>
  </si>
  <si>
    <t>ფოტომომსახურება</t>
  </si>
  <si>
    <t>07.06.2024</t>
  </si>
  <si>
    <t>CMR240081377</t>
  </si>
  <si>
    <t>551-1</t>
  </si>
  <si>
    <t>10.06.2024</t>
  </si>
  <si>
    <t>CMR240087895</t>
  </si>
  <si>
    <t>11.06.2024</t>
  </si>
  <si>
    <t xml:space="preserve">CMR240083833  </t>
  </si>
  <si>
    <t>CMR240083587</t>
  </si>
  <si>
    <t>CMR240083583</t>
  </si>
  <si>
    <t xml:space="preserve">CMR240083488 </t>
  </si>
  <si>
    <t xml:space="preserve"> ი.მ მაკა თორდინავა </t>
  </si>
  <si>
    <t>CMR240087438</t>
  </si>
  <si>
    <t>CMR240087432</t>
  </si>
  <si>
    <t>ბრენდირებული სასაჩუქრე მასალის შესყიდვა</t>
  </si>
  <si>
    <t>NAT240009226</t>
  </si>
  <si>
    <t xml:space="preserve">კედლის კონდიციონერის შესყიდვა მონტაჟით (2 ცალი) </t>
  </si>
  <si>
    <t>CMR240087960</t>
  </si>
  <si>
    <t>ი.მ ლაერტ ჩარკვიანი</t>
  </si>
  <si>
    <t xml:space="preserve">CMR240087880 </t>
  </si>
  <si>
    <t>12.06.2024</t>
  </si>
  <si>
    <t xml:space="preserve">CMR240083840 </t>
  </si>
  <si>
    <t>იმერეთის რეგიონში გემო ფესტის ღონისძების ორგანიზების მომსახურება</t>
  </si>
  <si>
    <t>13.06.2024</t>
  </si>
  <si>
    <t>NAT240009253</t>
  </si>
  <si>
    <t xml:space="preserve">შპს ჯი-ემ-თი სასტუმროები </t>
  </si>
  <si>
    <t>CMR240087509</t>
  </si>
  <si>
    <t xml:space="preserve">CMR240086076 </t>
  </si>
  <si>
    <t>ი.მ გიორგი ფარჯიანი</t>
  </si>
  <si>
    <t xml:space="preserve">CMR240086954 </t>
  </si>
  <si>
    <t>შპს ეიჩ-ბი-ჯგუფი</t>
  </si>
  <si>
    <t xml:space="preserve">CMR240085695 </t>
  </si>
  <si>
    <t xml:space="preserve">CMR240086952 </t>
  </si>
  <si>
    <t>Un Limited Production, Inc.</t>
  </si>
  <si>
    <t>მარკეტინგული მომსახურების შესყიდვა</t>
  </si>
  <si>
    <t>14.06.2024</t>
  </si>
  <si>
    <t>CMR240084674</t>
  </si>
  <si>
    <t>შპს დარჩი ყაზბეგი</t>
  </si>
  <si>
    <t xml:space="preserve">CMR240085689  </t>
  </si>
  <si>
    <t>შპს კვანტო</t>
  </si>
  <si>
    <t xml:space="preserve">CMR240089572 </t>
  </si>
  <si>
    <t xml:space="preserve">CMR240086947 </t>
  </si>
  <si>
    <t>შპს პალატი</t>
  </si>
  <si>
    <t xml:space="preserve">CMR240088355 </t>
  </si>
  <si>
    <t>შპს ჰოეგარდენი ქუთაისი</t>
  </si>
  <si>
    <t>16.06.2024</t>
  </si>
  <si>
    <t>შპს ელიტ ჯგუფი</t>
  </si>
  <si>
    <t>17.06.2024</t>
  </si>
  <si>
    <t>CMR240088461</t>
  </si>
  <si>
    <t>CMR240088451</t>
  </si>
  <si>
    <t>18.06.2024</t>
  </si>
  <si>
    <t>CMR240087446</t>
  </si>
  <si>
    <t xml:space="preserve">CMR240089327 </t>
  </si>
  <si>
    <t xml:space="preserve">RG2 Communications Ltd </t>
  </si>
  <si>
    <t>სარეკლამო კამპანია -National Geographic ღონისძიების ფარგლებში</t>
  </si>
  <si>
    <t>19.06.2024</t>
  </si>
  <si>
    <t>CMR240088876</t>
  </si>
  <si>
    <t>საქართველოს გასტრონომიული ტურიზმის ბიზნეს ასოციაცია</t>
  </si>
  <si>
    <t xml:space="preserve">ღონისძიების ორგანიზების ფარგლებში ქართული კერძების პრეზენტაციის მომსახურება </t>
  </si>
  <si>
    <t xml:space="preserve">CMR240086709 </t>
  </si>
  <si>
    <t>Worldwide Events Group Ltd</t>
  </si>
  <si>
    <t>M&amp;I - ის ფარგლებში ღონისძიების ორგანიზების მომსახურება (ბაიერების ჩამოყვანა)</t>
  </si>
  <si>
    <t>20.06.2024</t>
  </si>
  <si>
    <t>CMR240087740</t>
  </si>
  <si>
    <t>CMR240087584</t>
  </si>
  <si>
    <t xml:space="preserve">CMR240087594 </t>
  </si>
  <si>
    <t>შპს მუზეუმი</t>
  </si>
  <si>
    <t>შპს კაკლები-ქორთიარდ კაკლები</t>
  </si>
  <si>
    <t>შპს კონსიერჟ თბილისი</t>
  </si>
  <si>
    <t>20–21 ივლისს დიდ ბრიტანეთში, ქ. ლონდონში საერთაშორისო გასტრონომიული ფესტივალის „The National Geographic Traveller Food Festival 2024“ ფარგლებში ღონისძიების ორგანიზების მომსახურება</t>
  </si>
  <si>
    <t>21.06.2024</t>
  </si>
  <si>
    <t xml:space="preserve">Damier |Media Inc. </t>
  </si>
  <si>
    <t>მ არკეტინგული სარეკლამო კამპანია</t>
  </si>
  <si>
    <t>CMR240088248</t>
  </si>
  <si>
    <t>CMR240088930</t>
  </si>
  <si>
    <t>შპს ლოპოტა</t>
  </si>
  <si>
    <t>შპს კახელები</t>
  </si>
  <si>
    <t>შპს მგვ ჯგუფი</t>
  </si>
  <si>
    <t>ი.მ. მაია კეზევაძე</t>
  </si>
  <si>
    <t>ი.ბ. სტალინის სახელმწიფო მუზეუმი</t>
  </si>
  <si>
    <t>24.06.2024</t>
  </si>
  <si>
    <t xml:space="preserve">CMR240088984 </t>
  </si>
  <si>
    <t>CMR240090514</t>
  </si>
  <si>
    <t>შპს ნარნია</t>
  </si>
  <si>
    <t>CMR240089921</t>
  </si>
  <si>
    <t xml:space="preserve">CMR240090280 </t>
  </si>
  <si>
    <t>CMR240090755</t>
  </si>
  <si>
    <t>CMR240090512</t>
  </si>
  <si>
    <t>25.06.2024</t>
  </si>
  <si>
    <t>CMR240091098</t>
  </si>
  <si>
    <t>შპს სატურნი</t>
  </si>
  <si>
    <t>ქოლგები</t>
  </si>
  <si>
    <t>26.06.2024</t>
  </si>
  <si>
    <t>შპს გურუ</t>
  </si>
  <si>
    <t>27.06.2024</t>
  </si>
  <si>
    <t>ი.მ. ბესიკი ჭითანავა</t>
  </si>
  <si>
    <t>ი.მ. მარიკა თოდუა</t>
  </si>
  <si>
    <t>ი.მ. აზა ნაჭყებია</t>
  </si>
  <si>
    <t>ი.მ. ელიკო ლაგვილავა</t>
  </si>
  <si>
    <t>შპს ანფაუნდდორი</t>
  </si>
  <si>
    <t>შპს ლეო 444</t>
  </si>
  <si>
    <t>CMR240090857</t>
  </si>
  <si>
    <t>CMR240090869</t>
  </si>
  <si>
    <t>შპს ჩვენი</t>
  </si>
  <si>
    <t>28.06.2024</t>
  </si>
  <si>
    <t xml:space="preserve">ი.მ. დავით ნოზაძე </t>
  </si>
  <si>
    <t>შპს საჭაშნიკე 1969</t>
  </si>
  <si>
    <t>ი.მ. ვახტანგ გუნიავა</t>
  </si>
  <si>
    <t>M&amp;I - ის ფარგლებში მუსიკალური გაფორმებით უზრუნველყოფა</t>
  </si>
  <si>
    <t>ააიპ ქართული მუსიკის ცენტრი</t>
  </si>
  <si>
    <t>ფ.პ. მარი მანჯავიძე</t>
  </si>
  <si>
    <t>ი.მ. ეკატერინე დოლიძე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</si>
</sst>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mm/dd/yyyy"/>
    <numFmt numFmtId="166" formatCode="#,##0.00\ [$₾-437]"/>
    <numFmt numFmtId="167" formatCode="_-* #,##0.00\ [$₾-437]_-;\-* #,##0.00\ [$₾-437]_-;_-* &quot;-&quot;??\ [$₾-437]_-;_-@_-"/>
    <numFmt numFmtId="168" formatCode="dd\.mm\.yyyy;@"/>
    <numFmt numFmtId="169" formatCode="#,##0.00_ ;[Red]\-#,##0.00\ "/>
    <numFmt numFmtId="170" formatCode="dd\.mm\.yyyy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Sylfaen"/>
      <family val="1"/>
      <charset val="204"/>
    </font>
    <font>
      <sz val="10"/>
      <name val="Arial"/>
      <family val="2"/>
      <charset val="204"/>
    </font>
    <font>
      <sz val="8"/>
      <color theme="1"/>
      <name val="Sylfaen"/>
      <family val="1"/>
      <charset val="204"/>
    </font>
    <font>
      <sz val="8"/>
      <color rgb="FF000000"/>
      <name val="Sylfaen"/>
      <family val="1"/>
      <charset val="204"/>
    </font>
    <font>
      <sz val="8"/>
      <color theme="1"/>
      <name val="Sylfaen"/>
      <family val="1"/>
    </font>
    <font>
      <sz val="8"/>
      <name val="Verdana"/>
      <family val="2"/>
      <charset val="204"/>
    </font>
    <font>
      <sz val="8"/>
      <color rgb="FF222222"/>
      <name val="Sylfaen"/>
      <family val="1"/>
    </font>
    <font>
      <sz val="8"/>
      <name val="Sylfaen"/>
      <family val="1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rgb="FF222222"/>
      <name val="Verdana"/>
      <family val="2"/>
      <charset val="204"/>
    </font>
    <font>
      <sz val="9"/>
      <color theme="1"/>
      <name val="Sylfaen"/>
      <family val="1"/>
      <charset val="204"/>
    </font>
    <font>
      <sz val="8"/>
      <color rgb="FF222222"/>
      <name val="Sylfaen"/>
      <family val="1"/>
      <charset val="204"/>
    </font>
    <font>
      <i/>
      <sz val="8"/>
      <name val="Sylfaen"/>
      <family val="1"/>
      <charset val="204"/>
    </font>
    <font>
      <sz val="9"/>
      <color rgb="FF000000"/>
      <name val="Sylfaen"/>
      <family val="1"/>
    </font>
    <font>
      <sz val="9"/>
      <color theme="1"/>
      <name val="Sylfaen"/>
      <family val="1"/>
    </font>
    <font>
      <sz val="8"/>
      <color rgb="FF000000"/>
      <name val="Sylfaen"/>
      <family val="1"/>
    </font>
    <font>
      <u/>
      <sz val="11"/>
      <color theme="10"/>
      <name val="Calibri"/>
      <family val="2"/>
    </font>
    <font>
      <sz val="9"/>
      <color rgb="FF000000"/>
      <name val="Sylfaen"/>
      <family val="1"/>
      <charset val="204"/>
    </font>
    <font>
      <sz val="8"/>
      <name val="Verdana"/>
      <family val="2"/>
    </font>
    <font>
      <sz val="8"/>
      <color theme="1"/>
      <name val="Liberation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2" applyFont="1" applyFill="1" applyBorder="1" applyAlignment="1" applyProtection="1">
      <alignment horizontal="center" vertical="center" wrapText="1"/>
    </xf>
    <xf numFmtId="2" fontId="2" fillId="2" borderId="1" xfId="2" applyNumberFormat="1" applyFont="1" applyFill="1" applyBorder="1" applyAlignment="1" applyProtection="1">
      <alignment horizontal="center" vertical="center" wrapText="1"/>
    </xf>
    <xf numFmtId="164" fontId="2" fillId="2" borderId="1" xfId="2" applyNumberFormat="1" applyFont="1" applyFill="1" applyBorder="1" applyAlignment="1" applyProtection="1">
      <alignment horizontal="center" vertical="center" wrapText="1"/>
    </xf>
    <xf numFmtId="14" fontId="2" fillId="2" borderId="1" xfId="2" applyNumberFormat="1" applyFont="1" applyFill="1" applyBorder="1" applyAlignment="1" applyProtection="1">
      <alignment horizontal="center" vertical="center" wrapText="1"/>
    </xf>
    <xf numFmtId="1" fontId="2" fillId="2" borderId="1" xfId="2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3" borderId="1" xfId="2" applyFont="1" applyFill="1" applyBorder="1" applyAlignment="1" applyProtection="1">
      <alignment horizontal="center" vertical="center" wrapText="1"/>
    </xf>
    <xf numFmtId="166" fontId="2" fillId="3" borderId="1" xfId="1" applyNumberFormat="1" applyFont="1" applyFill="1" applyBorder="1" applyAlignment="1" applyProtection="1">
      <alignment horizontal="center" vertical="center" wrapText="1"/>
    </xf>
    <xf numFmtId="167" fontId="2" fillId="3" borderId="1" xfId="1" applyNumberFormat="1" applyFont="1" applyFill="1" applyBorder="1" applyAlignment="1" applyProtection="1">
      <alignment horizontal="center" vertical="center" wrapText="1"/>
    </xf>
    <xf numFmtId="166" fontId="2" fillId="3" borderId="1" xfId="2" applyNumberFormat="1" applyFont="1" applyFill="1" applyBorder="1" applyAlignment="1" applyProtection="1">
      <alignment horizontal="center" vertical="center" wrapText="1"/>
    </xf>
    <xf numFmtId="164" fontId="2" fillId="3" borderId="1" xfId="2" applyNumberFormat="1" applyFont="1" applyFill="1" applyBorder="1" applyAlignment="1" applyProtection="1">
      <alignment horizontal="center" vertical="center" wrapText="1"/>
    </xf>
    <xf numFmtId="168" fontId="2" fillId="3" borderId="1" xfId="2" applyNumberFormat="1" applyFont="1" applyFill="1" applyBorder="1" applyAlignment="1" applyProtection="1">
      <alignment horizontal="center" vertical="center" wrapText="1"/>
    </xf>
    <xf numFmtId="169" fontId="2" fillId="3" borderId="1" xfId="2" applyNumberFormat="1" applyFont="1" applyFill="1" applyBorder="1" applyAlignment="1" applyProtection="1">
      <alignment horizontal="center" vertical="center" wrapText="1"/>
    </xf>
    <xf numFmtId="1" fontId="2" fillId="3" borderId="1" xfId="2" applyNumberFormat="1" applyFont="1" applyFill="1" applyBorder="1" applyAlignment="1" applyProtection="1">
      <alignment horizontal="center" vertical="center" wrapText="1"/>
    </xf>
    <xf numFmtId="169" fontId="2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169" fontId="2" fillId="0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169" fontId="2" fillId="0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169" fontId="2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9" fontId="4" fillId="4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2" fontId="2" fillId="5" borderId="1" xfId="0" applyNumberFormat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0" fontId="2" fillId="0" borderId="1" xfId="0" applyNumberFormat="1" applyFont="1" applyFill="1" applyBorder="1" applyAlignment="1" applyProtection="1">
      <alignment horizontal="center" vertical="center" wrapText="1"/>
    </xf>
    <xf numFmtId="168" fontId="2" fillId="0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2" fontId="2" fillId="6" borderId="1" xfId="0" applyNumberFormat="1" applyFont="1" applyFill="1" applyBorder="1" applyAlignment="1" applyProtection="1">
      <alignment horizontal="center" vertical="center" wrapText="1"/>
    </xf>
    <xf numFmtId="170" fontId="2" fillId="6" borderId="1" xfId="0" applyNumberFormat="1" applyFont="1" applyFill="1" applyBorder="1" applyAlignment="1" applyProtection="1">
      <alignment horizontal="center" vertical="center" wrapText="1"/>
    </xf>
    <xf numFmtId="168" fontId="2" fillId="6" borderId="1" xfId="0" applyNumberFormat="1" applyFont="1" applyFill="1" applyBorder="1" applyAlignment="1" applyProtection="1">
      <alignment horizontal="center" vertical="center" wrapText="1"/>
    </xf>
    <xf numFmtId="0" fontId="5" fillId="6" borderId="1" xfId="0" applyNumberFormat="1" applyFont="1" applyFill="1" applyBorder="1" applyAlignment="1">
      <alignment horizontal="center" vertical="center" wrapText="1"/>
    </xf>
    <xf numFmtId="169" fontId="2" fillId="6" borderId="1" xfId="0" applyNumberFormat="1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169" fontId="2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68" fontId="2" fillId="5" borderId="1" xfId="0" applyNumberFormat="1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wrapText="1"/>
    </xf>
    <xf numFmtId="169" fontId="9" fillId="6" borderId="1" xfId="0" applyNumberFormat="1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 applyProtection="1">
      <alignment horizontal="center" vertical="center" wrapText="1"/>
    </xf>
    <xf numFmtId="0" fontId="9" fillId="6" borderId="0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 applyProtection="1">
      <alignment horizontal="center" vertical="center" wrapText="1"/>
    </xf>
    <xf numFmtId="169" fontId="9" fillId="4" borderId="1" xfId="0" applyNumberFormat="1" applyFont="1" applyFill="1" applyBorder="1" applyAlignment="1" applyProtection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2" fillId="6" borderId="1" xfId="3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1" fontId="2" fillId="6" borderId="1" xfId="0" applyNumberFormat="1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9" fillId="6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69" fontId="9" fillId="6" borderId="1" xfId="0" applyNumberFormat="1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9" fillId="5" borderId="1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9" fontId="9" fillId="5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wrapText="1"/>
    </xf>
    <xf numFmtId="164" fontId="2" fillId="4" borderId="1" xfId="0" applyNumberFormat="1" applyFont="1" applyFill="1" applyBorder="1" applyAlignment="1" applyProtection="1">
      <alignment horizontal="center" vertical="center" wrapText="1"/>
    </xf>
    <xf numFmtId="168" fontId="2" fillId="4" borderId="1" xfId="0" applyNumberFormat="1" applyFont="1" applyFill="1" applyBorder="1" applyAlignment="1" applyProtection="1">
      <alignment horizontal="center" vertical="center" wrapText="1"/>
    </xf>
    <xf numFmtId="1" fontId="2" fillId="4" borderId="1" xfId="0" applyNumberFormat="1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tvildiani/Desktop/2024/28.06.2024-2/&#4305;&#4304;&#4310;&#4304;-28.06.2024%20-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გეგმა 2024"/>
      <sheetName val="გეგმა 2024 (საკ. შ.)"/>
      <sheetName val="ხელშეკრულებების რეესტრი"/>
    </sheetNames>
    <sheetDataSet>
      <sheetData sheetId="0">
        <row r="7">
          <cell r="C7" t="str">
            <v>თხილეული</v>
          </cell>
        </row>
        <row r="8">
          <cell r="C8" t="str">
            <v>საწვავი</v>
          </cell>
        </row>
        <row r="9">
          <cell r="C9" t="str">
            <v>ნავთობი, ქვანახშირი და ნავთობპროდუქტები</v>
          </cell>
        </row>
        <row r="10">
          <cell r="C10" t="str">
            <v>ხილი, ბოსტნეული და მონათესავე პროდუქტები</v>
          </cell>
        </row>
        <row r="12">
          <cell r="C12" t="str">
            <v>სხვადასხვა საკვები პროდუქტი</v>
          </cell>
        </row>
        <row r="13">
          <cell r="C13" t="str">
            <v>სასმელი, თამბაქო და მონათესავე პროდუქტები (ღვინო)</v>
          </cell>
        </row>
        <row r="14">
          <cell r="C14" t="str">
            <v>სასმელი, თამბაქო და მონათესავე პროდუქტები (ღვინო).</v>
          </cell>
        </row>
        <row r="16">
          <cell r="C16" t="str">
            <v>სამკაულები, საათები და მონათესავე ნივთები.</v>
          </cell>
        </row>
        <row r="17">
          <cell r="C17" t="str">
            <v>სამკაულები, საათები და მონათესავე ნივთები</v>
          </cell>
        </row>
        <row r="19">
          <cell r="C19" t="str">
            <v>ტყავის, ტექსტილის, რეზინისა და პლასტმასის ნარჩენი</v>
          </cell>
        </row>
        <row r="25">
          <cell r="C25" t="str">
            <v>ქაღალდის შესყიდვა</v>
          </cell>
        </row>
        <row r="26">
          <cell r="C26" t="str">
            <v>საოფისე მანქანა-დანადგარები, აღჭურვილობა და საკანცელარიო ნივთები, კომპიუტერების, პრინტერებისა და ავეჯის გარდა</v>
          </cell>
        </row>
        <row r="27">
          <cell r="C27" t="str">
            <v xml:space="preserve">კომპიუტერული მოწყობილობები </v>
          </cell>
        </row>
        <row r="28">
          <cell r="C28" t="str">
            <v>კომპიუტერული მოწყობილობები ..</v>
          </cell>
        </row>
        <row r="29">
          <cell r="C29" t="str">
            <v> აკუმულატორები, დენის პირველადი წყაროები და პირველადი ელემენტები.</v>
          </cell>
        </row>
        <row r="31">
          <cell r="C31" t="str">
            <v>პირადი ჰიგიენის საშუალებები</v>
          </cell>
        </row>
        <row r="33">
          <cell r="C33" t="str">
            <v>ნაწილები და აქსესუარები სატრანსპორტო საშუალებებისა და მათი ძრავებისათვის</v>
          </cell>
        </row>
        <row r="34">
          <cell r="C34" t="str">
            <v>მუსიკალური ინსტრუმენტები და ნაწილები</v>
          </cell>
        </row>
        <row r="35">
          <cell r="C35" t="str">
            <v>ოპტიკური ხელსაწყოები</v>
          </cell>
        </row>
        <row r="36">
          <cell r="C36" t="str">
            <v>ავეჯი (სტენდები)</v>
          </cell>
        </row>
        <row r="37">
          <cell r="C37" t="str">
            <v>ჭიქები</v>
          </cell>
        </row>
        <row r="38">
          <cell r="C38" t="str">
            <v>ქსოვილის ნივთები</v>
          </cell>
        </row>
        <row r="39">
          <cell r="C39" t="str">
            <v>საოჯახო ტექნიკა</v>
          </cell>
        </row>
        <row r="40">
          <cell r="C40" t="str">
            <v>საწმენდი და საპრიალებელი პროდუქცია</v>
          </cell>
        </row>
        <row r="41">
          <cell r="C41" t="str">
            <v>სასმელი წყალი</v>
          </cell>
        </row>
        <row r="42">
          <cell r="C42" t="str">
            <v>კონდიციონერი</v>
          </cell>
        </row>
        <row r="43">
          <cell r="C43" t="str">
            <v>ჰიგიენური საშუალებების დისპენსერები</v>
          </cell>
        </row>
        <row r="44">
          <cell r="C44" t="str">
            <v>სხვადასხვა ზოგადი და სპეციალური დანიშნულების მანქანა-დანადგარები</v>
          </cell>
        </row>
        <row r="45">
          <cell r="C45" t="str">
            <v>სამშენებლო მასალები და დამხმარე სამშენებლო მასალები</v>
          </cell>
        </row>
        <row r="46">
          <cell r="C46" t="str">
            <v>მთლიანი ან ნაწილობრივი სამშენებლო სამუშაოები და სამოქალაქო მშენებლობის სამუშაოები</v>
          </cell>
        </row>
        <row r="48">
          <cell r="C48" t="str">
            <v>ქსელების, ინტერნეტისა და ინტრანეტის პროგრამული პაკეტები</v>
          </cell>
        </row>
        <row r="49">
          <cell r="C49" t="str">
            <v> საქმიანი გარიგებებისა და პირადი საქმეების მართვის პროგრამული პაკეტები</v>
          </cell>
        </row>
        <row r="50">
          <cell r="C50" t="str">
            <v>მონაცემთა ბაზისა და ოპერაციული პროგრამული პაკეტები</v>
          </cell>
        </row>
        <row r="51">
          <cell r="C51" t="str">
            <v>ავტომობილების ტექნიკური მომსახურება.</v>
          </cell>
        </row>
        <row r="52">
          <cell r="C52" t="str">
            <v>ავტომობილების ტექნიკური მომსახურება</v>
          </cell>
        </row>
        <row r="53">
          <cell r="C53" t="str">
            <v xml:space="preserve">ავტომობილების ტექნიკური მომსახურება . </v>
          </cell>
        </row>
        <row r="55">
          <cell r="C55" t="str">
            <v xml:space="preserve"> შენობის მოწყობილობების შეკეთება და ტექნიკური მომსახურება</v>
          </cell>
        </row>
        <row r="56">
          <cell r="C56" t="str">
            <v>ავეჯის შეკეთება და ტექნიკური მომსახურება</v>
          </cell>
        </row>
        <row r="59">
          <cell r="C59" t="str">
            <v>სასტუმროს მომსახურება</v>
          </cell>
        </row>
        <row r="60">
          <cell r="C60" t="str">
            <v>რესტორნებისა და კვების საწარმოების მომსახურეობები ..</v>
          </cell>
        </row>
        <row r="61">
          <cell r="C61" t="str">
            <v>რესტორნებისა და კვების საწარმოების მომსახურეობები .</v>
          </cell>
        </row>
        <row r="62">
          <cell r="C62" t="str">
            <v xml:space="preserve">რესტორნებისა და კვების საწარმოების მომსახურეობები </v>
          </cell>
        </row>
        <row r="63">
          <cell r="C63" t="str">
            <v>სასმელების მიტანის მომსახურება</v>
          </cell>
        </row>
        <row r="64">
          <cell r="C64" t="str">
            <v xml:space="preserve"> საავტომობილო ტრანსპორტის მომსახურებები</v>
          </cell>
        </row>
        <row r="65">
          <cell r="C65" t="str">
            <v>საჰაერო ტრანსპორტის მომსახურებები</v>
          </cell>
        </row>
        <row r="66">
          <cell r="C66" t="str">
            <v>ტვირთის გადაზიდვისა და შენახვის მომსახურებები.</v>
          </cell>
        </row>
        <row r="67">
          <cell r="C67" t="str">
            <v>ტვირთის გადაზიდვისა და შენახვის მომსახურებები</v>
          </cell>
        </row>
        <row r="68">
          <cell r="C68" t="str">
            <v>ტურისტული სააგენტოების, ტუროპერატორებისა და ტურისტების დახმარების მომსახურებები</v>
          </cell>
        </row>
        <row r="69">
          <cell r="C69" t="str">
            <v> სახმელეთო, წყლისა და საჰაერო ტრანსპორტის დამხმარე მომსახურებები</v>
          </cell>
        </row>
        <row r="70">
          <cell r="C70" t="str">
            <v>საფოსტო მომსახურება</v>
          </cell>
        </row>
        <row r="71">
          <cell r="C71" t="str">
            <v>სატელეკომუნიკაციო მომსახურებები</v>
          </cell>
        </row>
        <row r="72">
          <cell r="C72" t="str">
            <v>სატელეკომუნიკაციო მომსახურებები (სპეცკავშირები)</v>
          </cell>
        </row>
        <row r="74">
          <cell r="C74" t="str">
            <v>წყლის განაწილება და მასთან დაკავშირებული მომსახურებები</v>
          </cell>
        </row>
        <row r="76">
          <cell r="C76" t="str">
            <v>სადაზღვევო და საპენსიო მომსახურებები</v>
          </cell>
        </row>
        <row r="77">
          <cell r="C77" t="str">
            <v>ტექნიკური შემოწმება, ანალიზი და საკონსულტაციო მომსახურებები</v>
          </cell>
        </row>
        <row r="78">
          <cell r="C78" t="str">
            <v>საინჟინრო მომსახურებები</v>
          </cell>
        </row>
        <row r="79">
          <cell r="C79" t="str">
            <v>პროგრამული უზრუნველყოფის შემუშავება.</v>
          </cell>
        </row>
        <row r="80">
          <cell r="C80" t="str">
            <v xml:space="preserve">პროგრამული უზრუნველყოფის შემუშავება </v>
          </cell>
        </row>
        <row r="81">
          <cell r="C81" t="str">
            <v>ინტერნეტ მომსახურებები.</v>
          </cell>
        </row>
        <row r="82">
          <cell r="C82" t="str">
            <v>ინტერნეტ მომსახურებები</v>
          </cell>
        </row>
        <row r="84">
          <cell r="C84" t="str">
            <v>ინტერნეტით მომსახურება</v>
          </cell>
        </row>
        <row r="87">
          <cell r="C87" t="str">
            <v>ბაზრის კვლევა და ეკონომიკური კვლევა გამოკითხვები და სტატისტიკა.</v>
          </cell>
        </row>
        <row r="88">
          <cell r="C88" t="str">
            <v>გამოკითხვებთან დაკავშირებული მომსახურებები</v>
          </cell>
        </row>
        <row r="89">
          <cell r="C89" t="str">
            <v>ბაზრის კვლევა და ეკონომიკური კვლევა გამოკითხვები და სტატისტიკა</v>
          </cell>
        </row>
        <row r="91">
          <cell r="C91" t="str">
            <v>ბიზნესსა და მენეჯმენტთან დაკავშირებული კონსულტაციები და მომსახურებები.</v>
          </cell>
        </row>
        <row r="93">
          <cell r="C93" t="str">
            <v>ტექსტების დაწერა/თარგმნა/რედაქტირება.</v>
          </cell>
        </row>
        <row r="94">
          <cell r="C94" t="str">
            <v>საერთაშორისო ხელშეკრულებების თარგმნა და დამოწმება, თარჯიმნის მომსახურება</v>
          </cell>
        </row>
        <row r="95">
          <cell r="C95" t="str">
            <v>პერსონალის დაქირავებასთან დაკავშირებული მომსახურებები</v>
          </cell>
        </row>
        <row r="96">
          <cell r="C96" t="str">
            <v>გამოძიებასა და უსაფრთხოებასთან დაკავშირებული მომსახურებები.</v>
          </cell>
        </row>
        <row r="97">
          <cell r="C97" t="str">
            <v>გამოძიებასა და უსაფრთხოებასთან დაკავშირებული მომსახურებები</v>
          </cell>
        </row>
        <row r="98">
          <cell r="C98" t="str">
            <v>ბეჭდვა და მასთან დაკავშირებული მომსახურებები</v>
          </cell>
        </row>
        <row r="100">
          <cell r="C100" t="str">
            <v xml:space="preserve"> სხვადასხვა კომერციული მომსახურება და მასთან დაკავშირებული მომსახურებები.</v>
          </cell>
        </row>
        <row r="101">
          <cell r="C101" t="str">
            <v xml:space="preserve"> სხვადასხვა კომერციული მომსახურება და მასთან დაკავშირებული მომსახურებები</v>
          </cell>
        </row>
        <row r="102">
          <cell r="C102" t="str">
            <v>26 მაისის ღონისძიება - ამბროლაური, მესტია</v>
          </cell>
        </row>
        <row r="103">
          <cell r="C103" t="str">
            <v>სატრენინგო მომსახურებები.</v>
          </cell>
        </row>
        <row r="104">
          <cell r="C104" t="str">
            <v>სატრენინგო მომსახურებები</v>
          </cell>
        </row>
        <row r="106">
          <cell r="C106" t="str">
            <v>დასუფთავება და სანიტარიული მომსახურება</v>
          </cell>
        </row>
        <row r="107">
          <cell r="C107" t="str">
            <v>კინო- და ვიდეომომსახურებები</v>
          </cell>
        </row>
        <row r="108">
          <cell r="C108" t="str">
            <v>სატელევიზიო და რადიო მომსახურებები</v>
          </cell>
        </row>
        <row r="109">
          <cell r="C109" t="str">
            <v>გასართობი მომსახურებები.</v>
          </cell>
        </row>
        <row r="111">
          <cell r="C111" t="str">
            <v>გასართობი მომსახურებები-</v>
          </cell>
        </row>
        <row r="112">
          <cell r="C112" t="str">
            <v>ახალი ამბების სააგენტოების მომსახურეობები.</v>
          </cell>
        </row>
        <row r="114">
          <cell r="C114" t="str">
            <v>ბიბლიოთეკების, არქივების, მუზეუმებისა და სხვა კულტურული დაწესებულებების მომსახურებები</v>
          </cell>
        </row>
        <row r="116">
          <cell r="C116" t="str">
            <v>სხვადასხვა მომსახურება.</v>
          </cell>
        </row>
      </sheetData>
      <sheetData sheetId="1">
        <row r="7">
          <cell r="C7" t="str">
            <v>სტენდები (საკ.შ.)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5"/>
  <sheetViews>
    <sheetView tabSelected="1" topLeftCell="A148" workbookViewId="0">
      <selection activeCell="A590" sqref="A590:XFD590"/>
    </sheetView>
  </sheetViews>
  <sheetFormatPr defaultRowHeight="15"/>
  <cols>
    <col min="2" max="2" width="16.7109375" customWidth="1"/>
    <col min="3" max="3" width="21.85546875" customWidth="1"/>
    <col min="4" max="4" width="16.5703125" customWidth="1"/>
    <col min="5" max="5" width="15.7109375" customWidth="1"/>
    <col min="6" max="6" width="18.42578125" customWidth="1"/>
    <col min="11" max="11" width="29" customWidth="1"/>
    <col min="12" max="12" width="24.5703125" customWidth="1"/>
    <col min="13" max="13" width="32.28515625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45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/>
      <c r="I2" s="6" t="s">
        <v>8</v>
      </c>
      <c r="J2" s="7" t="s">
        <v>9</v>
      </c>
      <c r="K2" s="8" t="s">
        <v>10</v>
      </c>
      <c r="L2" s="8" t="s">
        <v>11</v>
      </c>
      <c r="M2" s="9" t="s">
        <v>12</v>
      </c>
    </row>
    <row r="3" spans="1:13">
      <c r="A3" s="10"/>
      <c r="B3" s="11"/>
      <c r="C3" s="11"/>
      <c r="D3" s="12">
        <f>SUM(D4:D1473)</f>
        <v>16345553.346000005</v>
      </c>
      <c r="E3" s="13">
        <f>SUM(E4:E1473)</f>
        <v>11712511.750000004</v>
      </c>
      <c r="F3" s="14">
        <f>SUM(F4:F1473)</f>
        <v>4633041.5960000008</v>
      </c>
      <c r="G3" s="15"/>
      <c r="H3" s="16"/>
      <c r="I3" s="17"/>
      <c r="J3" s="18"/>
      <c r="K3" s="19"/>
      <c r="L3" s="19"/>
      <c r="M3" s="20"/>
    </row>
    <row r="4" spans="1:13" ht="34.5" customHeight="1">
      <c r="A4" s="21">
        <v>18</v>
      </c>
      <c r="B4" s="2" t="s">
        <v>13</v>
      </c>
      <c r="C4" s="2" t="s">
        <v>14</v>
      </c>
      <c r="D4" s="22">
        <v>39600</v>
      </c>
      <c r="E4" s="22">
        <f>2483.41+2052.63</f>
        <v>4536.04</v>
      </c>
      <c r="F4" s="22">
        <f t="shared" ref="F4:F66" si="0">D4-E4</f>
        <v>35063.96</v>
      </c>
      <c r="G4" s="21" t="s">
        <v>15</v>
      </c>
      <c r="H4" s="21" t="s">
        <v>16</v>
      </c>
      <c r="I4" s="21" t="s">
        <v>17</v>
      </c>
      <c r="J4" s="23">
        <v>64200000</v>
      </c>
      <c r="K4" s="2" t="str">
        <f>'[1]გეგმა 2024'!C71</f>
        <v>სატელეკომუნიკაციო მომსახურებები</v>
      </c>
      <c r="L4" s="21" t="s">
        <v>18</v>
      </c>
      <c r="M4" s="24" t="s">
        <v>19</v>
      </c>
    </row>
    <row r="5" spans="1:13" ht="32.25" customHeight="1">
      <c r="A5" s="21">
        <v>1</v>
      </c>
      <c r="B5" s="2" t="s">
        <v>20</v>
      </c>
      <c r="C5" s="2" t="s">
        <v>21</v>
      </c>
      <c r="D5" s="22">
        <v>7811</v>
      </c>
      <c r="E5" s="22">
        <f>145+145+220+232+145+203</f>
        <v>1090</v>
      </c>
      <c r="F5" s="22">
        <f t="shared" si="0"/>
        <v>6721</v>
      </c>
      <c r="G5" s="21" t="s">
        <v>22</v>
      </c>
      <c r="H5" s="21" t="s">
        <v>23</v>
      </c>
      <c r="I5" s="21" t="s">
        <v>24</v>
      </c>
      <c r="J5" s="23">
        <v>50100000</v>
      </c>
      <c r="K5" s="2" t="s">
        <v>25</v>
      </c>
      <c r="L5" s="21"/>
      <c r="M5" s="24"/>
    </row>
    <row r="6" spans="1:13" ht="21.75" customHeight="1">
      <c r="A6" s="21">
        <v>2</v>
      </c>
      <c r="B6" s="2" t="s">
        <v>26</v>
      </c>
      <c r="C6" s="2" t="s">
        <v>27</v>
      </c>
      <c r="D6" s="22">
        <v>20936</v>
      </c>
      <c r="E6" s="22">
        <f>15.52+29.92+1840</f>
        <v>1885.44</v>
      </c>
      <c r="F6" s="22">
        <f t="shared" si="0"/>
        <v>19050.560000000001</v>
      </c>
      <c r="G6" s="21" t="s">
        <v>22</v>
      </c>
      <c r="H6" s="21" t="s">
        <v>23</v>
      </c>
      <c r="I6" s="2" t="s">
        <v>24</v>
      </c>
      <c r="J6" s="23">
        <v>64100000</v>
      </c>
      <c r="K6" s="2" t="str">
        <f>'[1]გეგმა 2024'!C70</f>
        <v>საფოსტო მომსახურება</v>
      </c>
      <c r="L6" s="25"/>
      <c r="M6" s="24"/>
    </row>
    <row r="7" spans="1:13" ht="33.75" customHeight="1">
      <c r="A7" s="21">
        <v>3</v>
      </c>
      <c r="B7" s="2" t="s">
        <v>28</v>
      </c>
      <c r="C7" s="2" t="s">
        <v>29</v>
      </c>
      <c r="D7" s="22">
        <v>3120</v>
      </c>
      <c r="E7" s="22">
        <f>12.98+3.94+5.37+6.57+6.39</f>
        <v>35.25</v>
      </c>
      <c r="F7" s="22">
        <f t="shared" si="0"/>
        <v>3084.75</v>
      </c>
      <c r="G7" s="21" t="s">
        <v>30</v>
      </c>
      <c r="H7" s="21" t="s">
        <v>23</v>
      </c>
      <c r="I7" s="21" t="s">
        <v>31</v>
      </c>
      <c r="J7" s="23">
        <v>72400000</v>
      </c>
      <c r="K7" s="22" t="str">
        <f>'[1]გეგმა 2024'!C84</f>
        <v>ინტერნეტით მომსახურება</v>
      </c>
      <c r="L7" s="26" t="s">
        <v>32</v>
      </c>
      <c r="M7" s="24" t="s">
        <v>33</v>
      </c>
    </row>
    <row r="8" spans="1:13" ht="33.75" customHeight="1">
      <c r="A8" s="21">
        <v>4</v>
      </c>
      <c r="B8" s="2" t="s">
        <v>34</v>
      </c>
      <c r="C8" s="2" t="s">
        <v>35</v>
      </c>
      <c r="D8" s="22">
        <v>11880</v>
      </c>
      <c r="E8" s="22">
        <f>989.99+989.99+989.99+989.99+989.99</f>
        <v>4949.95</v>
      </c>
      <c r="F8" s="22">
        <f t="shared" si="0"/>
        <v>6930.05</v>
      </c>
      <c r="G8" s="21" t="s">
        <v>30</v>
      </c>
      <c r="H8" s="21" t="s">
        <v>23</v>
      </c>
      <c r="I8" s="21" t="s">
        <v>31</v>
      </c>
      <c r="J8" s="23">
        <v>72400000</v>
      </c>
      <c r="K8" s="22" t="str">
        <f>'[1]გეგმა 2024'!C84</f>
        <v>ინტერნეტით მომსახურება</v>
      </c>
      <c r="L8" s="26" t="s">
        <v>32</v>
      </c>
      <c r="M8" s="24" t="s">
        <v>36</v>
      </c>
    </row>
    <row r="9" spans="1:13" ht="31.5" customHeight="1">
      <c r="A9" s="21">
        <v>5</v>
      </c>
      <c r="B9" s="2" t="s">
        <v>37</v>
      </c>
      <c r="C9" s="2" t="s">
        <v>38</v>
      </c>
      <c r="D9" s="22">
        <v>5000</v>
      </c>
      <c r="E9" s="22"/>
      <c r="F9" s="22">
        <f t="shared" si="0"/>
        <v>5000</v>
      </c>
      <c r="G9" s="21" t="s">
        <v>30</v>
      </c>
      <c r="H9" s="21" t="s">
        <v>23</v>
      </c>
      <c r="I9" s="21" t="s">
        <v>17</v>
      </c>
      <c r="J9" s="27">
        <v>50100000</v>
      </c>
      <c r="K9" s="22" t="str">
        <f>'[1]გეგმა 2024'!C53</f>
        <v xml:space="preserve">ავტომობილების ტექნიკური მომსახურება . </v>
      </c>
      <c r="L9" s="28" t="s">
        <v>39</v>
      </c>
      <c r="M9" s="24" t="s">
        <v>39</v>
      </c>
    </row>
    <row r="10" spans="1:13" ht="29.25" customHeight="1">
      <c r="A10" s="21">
        <v>6</v>
      </c>
      <c r="B10" s="2" t="s">
        <v>37</v>
      </c>
      <c r="C10" s="29" t="s">
        <v>40</v>
      </c>
      <c r="D10" s="22">
        <v>1000</v>
      </c>
      <c r="E10" s="22">
        <f>212.59+203.74+146.64</f>
        <v>562.97</v>
      </c>
      <c r="F10" s="22">
        <f t="shared" si="0"/>
        <v>437.03</v>
      </c>
      <c r="G10" s="21" t="s">
        <v>30</v>
      </c>
      <c r="H10" s="21" t="s">
        <v>23</v>
      </c>
      <c r="I10" s="21" t="s">
        <v>17</v>
      </c>
      <c r="J10" s="27">
        <v>50100000</v>
      </c>
      <c r="K10" s="22" t="str">
        <f>'[1]გეგმა 2024'!C53</f>
        <v xml:space="preserve">ავტომობილების ტექნიკური მომსახურება . </v>
      </c>
      <c r="L10" s="28" t="s">
        <v>41</v>
      </c>
      <c r="M10" s="24" t="s">
        <v>41</v>
      </c>
    </row>
    <row r="11" spans="1:13" ht="37.5" customHeight="1">
      <c r="A11" s="21">
        <v>7</v>
      </c>
      <c r="B11" s="2" t="s">
        <v>42</v>
      </c>
      <c r="C11" s="2" t="s">
        <v>43</v>
      </c>
      <c r="D11" s="22">
        <v>849.6</v>
      </c>
      <c r="E11" s="22">
        <f>70.8+70.8+70.8+70.8+70.8</f>
        <v>354</v>
      </c>
      <c r="F11" s="22">
        <f t="shared" si="0"/>
        <v>495.6</v>
      </c>
      <c r="G11" s="21" t="s">
        <v>30</v>
      </c>
      <c r="H11" s="21" t="s">
        <v>23</v>
      </c>
      <c r="I11" s="2" t="s">
        <v>31</v>
      </c>
      <c r="J11" s="23">
        <v>64200000</v>
      </c>
      <c r="K11" s="22" t="str">
        <f>'[1]გეგმა 2024'!C72</f>
        <v>სატელეკომუნიკაციო მომსახურებები (სპეცკავშირები)</v>
      </c>
      <c r="L11" s="30" t="s">
        <v>44</v>
      </c>
      <c r="M11" s="24" t="s">
        <v>45</v>
      </c>
    </row>
    <row r="12" spans="1:13" ht="31.5" customHeight="1">
      <c r="A12" s="21">
        <v>8</v>
      </c>
      <c r="B12" s="31" t="s">
        <v>46</v>
      </c>
      <c r="C12" s="2" t="s">
        <v>47</v>
      </c>
      <c r="D12" s="22">
        <v>107040</v>
      </c>
      <c r="E12" s="22">
        <f>8920+8920+8920+8920+8920</f>
        <v>44600</v>
      </c>
      <c r="F12" s="22">
        <f t="shared" si="0"/>
        <v>62440</v>
      </c>
      <c r="G12" s="21" t="s">
        <v>30</v>
      </c>
      <c r="H12" s="21" t="s">
        <v>23</v>
      </c>
      <c r="I12" s="2" t="s">
        <v>31</v>
      </c>
      <c r="J12" s="23">
        <v>79700000</v>
      </c>
      <c r="K12" s="22" t="str">
        <f>'[1]გეგმა 2024'!C96</f>
        <v>გამოძიებასა და უსაფრთხოებასთან დაკავშირებული მომსახურებები.</v>
      </c>
      <c r="L12" s="32" t="s">
        <v>48</v>
      </c>
      <c r="M12" s="24" t="s">
        <v>49</v>
      </c>
    </row>
    <row r="13" spans="1:13" ht="20.25" customHeight="1">
      <c r="A13" s="21">
        <v>9</v>
      </c>
      <c r="B13" s="31" t="s">
        <v>50</v>
      </c>
      <c r="C13" s="2" t="s">
        <v>51</v>
      </c>
      <c r="D13" s="22">
        <v>4405.45</v>
      </c>
      <c r="E13" s="22">
        <f>367.12+367.12+367.12+367.12+367.12</f>
        <v>1835.6</v>
      </c>
      <c r="F13" s="22">
        <f t="shared" si="0"/>
        <v>2569.85</v>
      </c>
      <c r="G13" s="21" t="s">
        <v>30</v>
      </c>
      <c r="H13" s="21" t="s">
        <v>23</v>
      </c>
      <c r="I13" s="2" t="s">
        <v>17</v>
      </c>
      <c r="J13" s="23">
        <v>66500000</v>
      </c>
      <c r="K13" s="22" t="str">
        <f>'[1]გეგმა 2024'!C76</f>
        <v>სადაზღვევო და საპენსიო მომსახურებები</v>
      </c>
      <c r="L13" s="28" t="s">
        <v>52</v>
      </c>
      <c r="M13" s="24" t="s">
        <v>52</v>
      </c>
    </row>
    <row r="14" spans="1:13" ht="33.75">
      <c r="A14" s="21">
        <v>10</v>
      </c>
      <c r="B14" s="2" t="s">
        <v>53</v>
      </c>
      <c r="C14" s="29" t="s">
        <v>54</v>
      </c>
      <c r="D14" s="22">
        <v>16380</v>
      </c>
      <c r="E14" s="22">
        <f>16380</f>
        <v>16380</v>
      </c>
      <c r="F14" s="22">
        <f t="shared" si="0"/>
        <v>0</v>
      </c>
      <c r="G14" s="21" t="s">
        <v>30</v>
      </c>
      <c r="H14" s="21" t="s">
        <v>23</v>
      </c>
      <c r="I14" s="2" t="s">
        <v>17</v>
      </c>
      <c r="J14" s="23">
        <v>30100000</v>
      </c>
      <c r="K14" s="22" t="str">
        <f>'[1]გეგმა 2024'!C25</f>
        <v>ქაღალდის შესყიდვა</v>
      </c>
      <c r="L14" s="28" t="s">
        <v>55</v>
      </c>
      <c r="M14" s="24" t="s">
        <v>55</v>
      </c>
    </row>
    <row r="15" spans="1:13" ht="45">
      <c r="A15" s="33" t="s">
        <v>56</v>
      </c>
      <c r="B15" s="2" t="s">
        <v>53</v>
      </c>
      <c r="C15" s="29" t="s">
        <v>57</v>
      </c>
      <c r="D15" s="22">
        <v>10500</v>
      </c>
      <c r="E15" s="22">
        <f>10500</f>
        <v>10500</v>
      </c>
      <c r="F15" s="22">
        <f t="shared" si="0"/>
        <v>0</v>
      </c>
      <c r="G15" s="21" t="s">
        <v>30</v>
      </c>
      <c r="H15" s="21" t="s">
        <v>23</v>
      </c>
      <c r="I15" s="2" t="s">
        <v>17</v>
      </c>
      <c r="J15" s="23">
        <v>30200000</v>
      </c>
      <c r="K15" s="22" t="str">
        <f>'[1]გეგმა 2024'!C27</f>
        <v xml:space="preserve">კომპიუტერული მოწყობილობები </v>
      </c>
      <c r="L15" s="28" t="s">
        <v>55</v>
      </c>
      <c r="M15" s="24" t="s">
        <v>55</v>
      </c>
    </row>
    <row r="16" spans="1:13" ht="34.5" customHeight="1">
      <c r="A16" s="21">
        <v>11</v>
      </c>
      <c r="B16" s="2" t="s">
        <v>58</v>
      </c>
      <c r="C16" s="2" t="s">
        <v>59</v>
      </c>
      <c r="D16" s="22">
        <v>2250</v>
      </c>
      <c r="E16" s="22">
        <f>2250</f>
        <v>2250</v>
      </c>
      <c r="F16" s="22">
        <f t="shared" si="0"/>
        <v>0</v>
      </c>
      <c r="G16" s="21" t="s">
        <v>30</v>
      </c>
      <c r="H16" s="21" t="s">
        <v>23</v>
      </c>
      <c r="I16" s="2" t="s">
        <v>31</v>
      </c>
      <c r="J16" s="23">
        <v>48600000</v>
      </c>
      <c r="K16" s="22" t="str">
        <f>'[1]გეგმა 2024'!C50</f>
        <v>მონაცემთა ბაზისა და ოპერაციული პროგრამული პაკეტები</v>
      </c>
      <c r="L16" s="30" t="s">
        <v>60</v>
      </c>
      <c r="M16" s="24" t="s">
        <v>61</v>
      </c>
    </row>
    <row r="17" spans="1:13" ht="45" customHeight="1">
      <c r="A17" s="21">
        <v>12</v>
      </c>
      <c r="B17" s="2" t="s">
        <v>62</v>
      </c>
      <c r="C17" s="2" t="s">
        <v>63</v>
      </c>
      <c r="D17" s="22">
        <v>6960</v>
      </c>
      <c r="E17" s="22">
        <f>491.43+500.13+495.53+501.22+505.55</f>
        <v>2493.86</v>
      </c>
      <c r="F17" s="22">
        <f t="shared" si="0"/>
        <v>4466.1399999999994</v>
      </c>
      <c r="G17" s="21" t="s">
        <v>30</v>
      </c>
      <c r="H17" s="21" t="s">
        <v>23</v>
      </c>
      <c r="I17" s="2" t="s">
        <v>31</v>
      </c>
      <c r="J17" s="23">
        <v>72400000</v>
      </c>
      <c r="K17" s="22" t="str">
        <f>'[1]გეგმა 2024'!C84</f>
        <v>ინტერნეტით მომსახურება</v>
      </c>
      <c r="L17" s="26" t="s">
        <v>32</v>
      </c>
      <c r="M17" s="24" t="s">
        <v>64</v>
      </c>
    </row>
    <row r="18" spans="1:13" ht="42" customHeight="1">
      <c r="A18" s="21">
        <v>13</v>
      </c>
      <c r="B18" s="2" t="s">
        <v>65</v>
      </c>
      <c r="C18" s="2" t="s">
        <v>66</v>
      </c>
      <c r="D18" s="22">
        <v>15000</v>
      </c>
      <c r="E18" s="22">
        <f>1250+1250+1250+1250+1250</f>
        <v>6250</v>
      </c>
      <c r="F18" s="22">
        <f t="shared" si="0"/>
        <v>8750</v>
      </c>
      <c r="G18" s="21" t="s">
        <v>30</v>
      </c>
      <c r="H18" s="21" t="s">
        <v>23</v>
      </c>
      <c r="I18" s="2" t="s">
        <v>31</v>
      </c>
      <c r="J18" s="23">
        <v>72200000</v>
      </c>
      <c r="K18" s="22" t="str">
        <f>'[1]გეგმა 2024'!C80</f>
        <v xml:space="preserve">პროგრამული უზრუნველყოფის შემუშავება </v>
      </c>
      <c r="L18" s="26" t="s">
        <v>67</v>
      </c>
      <c r="M18" s="24" t="s">
        <v>68</v>
      </c>
    </row>
    <row r="19" spans="1:13" ht="42" customHeight="1">
      <c r="A19" s="21">
        <v>14</v>
      </c>
      <c r="B19" s="2" t="s">
        <v>13</v>
      </c>
      <c r="C19" s="2" t="s">
        <v>69</v>
      </c>
      <c r="D19" s="22">
        <v>720</v>
      </c>
      <c r="E19" s="22">
        <f>60+60+60+60+60</f>
        <v>300</v>
      </c>
      <c r="F19" s="22">
        <f t="shared" si="0"/>
        <v>420</v>
      </c>
      <c r="G19" s="21" t="s">
        <v>30</v>
      </c>
      <c r="H19" s="21" t="s">
        <v>23</v>
      </c>
      <c r="I19" s="2" t="s">
        <v>31</v>
      </c>
      <c r="J19" s="23">
        <v>92200000</v>
      </c>
      <c r="K19" s="22" t="str">
        <f>'[1]გეგმა 2024'!C108</f>
        <v>სატელევიზიო და რადიო მომსახურებები</v>
      </c>
      <c r="L19" s="26" t="s">
        <v>70</v>
      </c>
      <c r="M19" s="24" t="s">
        <v>71</v>
      </c>
    </row>
    <row r="20" spans="1:13" ht="30" customHeight="1">
      <c r="A20" s="21">
        <v>15</v>
      </c>
      <c r="B20" s="2" t="s">
        <v>72</v>
      </c>
      <c r="C20" s="2" t="s">
        <v>73</v>
      </c>
      <c r="D20" s="22">
        <v>600</v>
      </c>
      <c r="E20" s="22">
        <f>50+50+50+50+50</f>
        <v>250</v>
      </c>
      <c r="F20" s="22">
        <f t="shared" si="0"/>
        <v>350</v>
      </c>
      <c r="G20" s="21" t="s">
        <v>30</v>
      </c>
      <c r="H20" s="21" t="s">
        <v>23</v>
      </c>
      <c r="I20" s="2" t="s">
        <v>31</v>
      </c>
      <c r="J20" s="23">
        <v>79700000</v>
      </c>
      <c r="K20" s="22" t="str">
        <f>'[1]გეგმა 2024'!C97</f>
        <v>გამოძიებასა და უსაფრთხოებასთან დაკავშირებული მომსახურებები</v>
      </c>
      <c r="L20" s="26" t="s">
        <v>70</v>
      </c>
      <c r="M20" s="24" t="s">
        <v>74</v>
      </c>
    </row>
    <row r="21" spans="1:13" ht="30.75" customHeight="1">
      <c r="A21" s="21">
        <v>16</v>
      </c>
      <c r="B21" s="2" t="s">
        <v>75</v>
      </c>
      <c r="C21" s="2" t="s">
        <v>76</v>
      </c>
      <c r="D21" s="22">
        <v>2450</v>
      </c>
      <c r="E21" s="22">
        <f>178.5+34+170+195.5+93.5+17</f>
        <v>688.5</v>
      </c>
      <c r="F21" s="22">
        <f t="shared" si="0"/>
        <v>1761.5</v>
      </c>
      <c r="G21" s="21" t="s">
        <v>77</v>
      </c>
      <c r="H21" s="21" t="s">
        <v>23</v>
      </c>
      <c r="I21" s="2" t="s">
        <v>31</v>
      </c>
      <c r="J21" s="23">
        <v>30100000</v>
      </c>
      <c r="K21" s="22" t="str">
        <f>'[1]გეგმა 2024'!C26</f>
        <v>საოფისე მანქანა-დანადგარები, აღჭურვილობა და საკანცელარიო ნივთები, კომპიუტერების, პრინტერებისა და ავეჯის გარდა</v>
      </c>
      <c r="L21" s="24" t="s">
        <v>78</v>
      </c>
      <c r="M21" s="24" t="s">
        <v>79</v>
      </c>
    </row>
    <row r="22" spans="1:13" ht="37.5" customHeight="1">
      <c r="A22" s="21">
        <v>17</v>
      </c>
      <c r="B22" s="2" t="s">
        <v>37</v>
      </c>
      <c r="C22" s="2" t="s">
        <v>38</v>
      </c>
      <c r="D22" s="22">
        <v>5000</v>
      </c>
      <c r="E22" s="22">
        <f>150+100</f>
        <v>250</v>
      </c>
      <c r="F22" s="22">
        <f t="shared" si="0"/>
        <v>4750</v>
      </c>
      <c r="G22" s="21" t="s">
        <v>80</v>
      </c>
      <c r="H22" s="21" t="s">
        <v>23</v>
      </c>
      <c r="I22" s="2" t="s">
        <v>31</v>
      </c>
      <c r="J22" s="23">
        <v>50100000</v>
      </c>
      <c r="K22" s="22" t="str">
        <f>'[1]გეგმა 2024'!C52</f>
        <v>ავტომობილების ტექნიკური მომსახურება</v>
      </c>
      <c r="L22" s="24" t="s">
        <v>81</v>
      </c>
      <c r="M22" s="34" t="s">
        <v>82</v>
      </c>
    </row>
    <row r="23" spans="1:13" ht="35.25" customHeight="1">
      <c r="A23" s="21">
        <v>18</v>
      </c>
      <c r="B23" s="2" t="s">
        <v>83</v>
      </c>
      <c r="C23" s="2" t="s">
        <v>84</v>
      </c>
      <c r="D23" s="22">
        <v>20320</v>
      </c>
      <c r="E23" s="22">
        <f>876.3+2052.63+1107.64+2498.83+984.03+2664.13+1274.03+2651.95</f>
        <v>14109.54</v>
      </c>
      <c r="F23" s="22">
        <f t="shared" si="0"/>
        <v>6210.4599999999991</v>
      </c>
      <c r="G23" s="21" t="s">
        <v>80</v>
      </c>
      <c r="H23" s="21" t="s">
        <v>23</v>
      </c>
      <c r="I23" s="2" t="s">
        <v>17</v>
      </c>
      <c r="J23" s="23" t="s">
        <v>85</v>
      </c>
      <c r="K23" s="22" t="str">
        <f>'[1]გეგმა 2024'!C8</f>
        <v>საწვავი</v>
      </c>
      <c r="L23" s="28" t="s">
        <v>86</v>
      </c>
      <c r="M23" s="35" t="s">
        <v>86</v>
      </c>
    </row>
    <row r="24" spans="1:13" ht="51" customHeight="1">
      <c r="A24" s="21">
        <v>19</v>
      </c>
      <c r="B24" s="2" t="s">
        <v>87</v>
      </c>
      <c r="C24" s="2" t="s">
        <v>88</v>
      </c>
      <c r="D24" s="22">
        <v>274.14</v>
      </c>
      <c r="E24" s="22">
        <f>83.16+71.28+95.68</f>
        <v>250.12</v>
      </c>
      <c r="F24" s="22">
        <f t="shared" si="0"/>
        <v>24.019999999999982</v>
      </c>
      <c r="G24" s="21" t="s">
        <v>80</v>
      </c>
      <c r="H24" s="21" t="s">
        <v>23</v>
      </c>
      <c r="I24" s="2" t="s">
        <v>17</v>
      </c>
      <c r="J24" s="23">
        <v>42900000</v>
      </c>
      <c r="K24" s="22" t="str">
        <f>'[1]გეგმა 2024'!C44</f>
        <v>სხვადასხვა ზოგადი და სპეციალური დანიშნულების მანქანა-დანადგარები</v>
      </c>
      <c r="L24" s="24" t="s">
        <v>89</v>
      </c>
      <c r="M24" s="24" t="s">
        <v>89</v>
      </c>
    </row>
    <row r="25" spans="1:13" ht="42.75" customHeight="1">
      <c r="A25" s="33" t="s">
        <v>90</v>
      </c>
      <c r="B25" s="2" t="s">
        <v>87</v>
      </c>
      <c r="C25" s="2" t="s">
        <v>91</v>
      </c>
      <c r="D25" s="22">
        <v>1549.2</v>
      </c>
      <c r="E25" s="22">
        <f>83.16+71.28</f>
        <v>154.44</v>
      </c>
      <c r="F25" s="22">
        <f t="shared" si="0"/>
        <v>1394.76</v>
      </c>
      <c r="G25" s="21" t="s">
        <v>80</v>
      </c>
      <c r="H25" s="21" t="s">
        <v>23</v>
      </c>
      <c r="I25" s="2" t="s">
        <v>17</v>
      </c>
      <c r="J25" s="36" t="s">
        <v>92</v>
      </c>
      <c r="K25" s="22" t="str">
        <f>'[1]გეგმა 2024'!C9</f>
        <v>ნავთობი, ქვანახშირი და ნავთობპროდუქტები</v>
      </c>
      <c r="L25" s="24" t="s">
        <v>93</v>
      </c>
      <c r="M25" s="24" t="s">
        <v>93</v>
      </c>
    </row>
    <row r="26" spans="1:13" ht="40.5" customHeight="1">
      <c r="A26" s="21">
        <v>20</v>
      </c>
      <c r="B26" s="2" t="s">
        <v>94</v>
      </c>
      <c r="C26" s="2" t="s">
        <v>95</v>
      </c>
      <c r="D26" s="22">
        <v>46000</v>
      </c>
      <c r="E26" s="22">
        <f>3799.6</f>
        <v>3799.6</v>
      </c>
      <c r="F26" s="22">
        <f t="shared" si="0"/>
        <v>42200.4</v>
      </c>
      <c r="G26" s="21" t="s">
        <v>80</v>
      </c>
      <c r="H26" s="21" t="s">
        <v>23</v>
      </c>
      <c r="I26" s="2" t="s">
        <v>31</v>
      </c>
      <c r="J26" s="23">
        <v>79500000</v>
      </c>
      <c r="K26" s="22" t="str">
        <f>'[1]გეგმა 2024'!C94</f>
        <v>საერთაშორისო ხელშეკრულებების თარგმნა და დამოწმება, თარჯიმნის მომსახურება</v>
      </c>
      <c r="L26" s="26" t="s">
        <v>60</v>
      </c>
      <c r="M26" s="24" t="s">
        <v>96</v>
      </c>
    </row>
    <row r="27" spans="1:13" ht="45">
      <c r="A27" s="21">
        <v>21</v>
      </c>
      <c r="B27" s="2" t="s">
        <v>97</v>
      </c>
      <c r="C27" s="2" t="s">
        <v>98</v>
      </c>
      <c r="D27" s="22">
        <v>42600</v>
      </c>
      <c r="E27" s="22">
        <f>1823.48+3237.26+2498.84+2496.44</f>
        <v>10056.02</v>
      </c>
      <c r="F27" s="22">
        <f t="shared" si="0"/>
        <v>32543.98</v>
      </c>
      <c r="G27" s="21" t="s">
        <v>99</v>
      </c>
      <c r="H27" s="21" t="s">
        <v>23</v>
      </c>
      <c r="I27" s="2" t="s">
        <v>17</v>
      </c>
      <c r="J27" s="23" t="s">
        <v>85</v>
      </c>
      <c r="K27" s="22" t="str">
        <f>'[1]გეგმა 2024'!C8</f>
        <v>საწვავი</v>
      </c>
      <c r="L27" s="28" t="s">
        <v>100</v>
      </c>
      <c r="M27" s="24" t="s">
        <v>100</v>
      </c>
    </row>
    <row r="28" spans="1:13" ht="35.25" customHeight="1">
      <c r="A28" s="21">
        <v>22</v>
      </c>
      <c r="B28" s="2" t="s">
        <v>101</v>
      </c>
      <c r="C28" s="2" t="s">
        <v>102</v>
      </c>
      <c r="D28" s="22">
        <v>19290</v>
      </c>
      <c r="E28" s="22">
        <f>1430+1785+1430+1785+1430</f>
        <v>7860</v>
      </c>
      <c r="F28" s="22">
        <f t="shared" si="0"/>
        <v>11430</v>
      </c>
      <c r="G28" s="21" t="s">
        <v>99</v>
      </c>
      <c r="H28" s="21" t="s">
        <v>23</v>
      </c>
      <c r="I28" s="2" t="s">
        <v>24</v>
      </c>
      <c r="J28" s="23">
        <v>90900000</v>
      </c>
      <c r="K28" s="22" t="str">
        <f>'[1]გეგმა 2024'!C106</f>
        <v>დასუფთავება და სანიტარიული მომსახურება</v>
      </c>
      <c r="L28" s="28"/>
      <c r="M28" s="24"/>
    </row>
    <row r="29" spans="1:13" ht="35.25" customHeight="1">
      <c r="A29" s="21">
        <v>23</v>
      </c>
      <c r="B29" s="2" t="s">
        <v>103</v>
      </c>
      <c r="C29" s="2" t="s">
        <v>104</v>
      </c>
      <c r="D29" s="22">
        <v>93200</v>
      </c>
      <c r="E29" s="22">
        <f>15500+12000+6500+4000+4000+4200+5000+13000</f>
        <v>64200</v>
      </c>
      <c r="F29" s="22">
        <f t="shared" si="0"/>
        <v>29000</v>
      </c>
      <c r="G29" s="21" t="s">
        <v>99</v>
      </c>
      <c r="H29" s="21" t="s">
        <v>23</v>
      </c>
      <c r="I29" s="2" t="s">
        <v>24</v>
      </c>
      <c r="J29" s="23">
        <v>63100000</v>
      </c>
      <c r="K29" s="22" t="str">
        <f>'[1]გეგმა 2024'!C67</f>
        <v>ტვირთის გადაზიდვისა და შენახვის მომსახურებები</v>
      </c>
      <c r="L29" s="28"/>
      <c r="M29" s="24"/>
    </row>
    <row r="30" spans="1:13" ht="50.25" customHeight="1">
      <c r="A30" s="21">
        <v>24</v>
      </c>
      <c r="B30" s="2" t="s">
        <v>105</v>
      </c>
      <c r="C30" s="2" t="s">
        <v>106</v>
      </c>
      <c r="D30" s="22">
        <v>12000</v>
      </c>
      <c r="E30" s="22">
        <f>1000+1000+1000+1000+1000</f>
        <v>5000</v>
      </c>
      <c r="F30" s="22">
        <f t="shared" si="0"/>
        <v>7000</v>
      </c>
      <c r="G30" s="21" t="s">
        <v>107</v>
      </c>
      <c r="H30" s="21" t="s">
        <v>23</v>
      </c>
      <c r="I30" s="2" t="s">
        <v>31</v>
      </c>
      <c r="J30" s="27">
        <v>79400000</v>
      </c>
      <c r="K30" s="22" t="str">
        <f>'[1]გეგმა 2024'!C91</f>
        <v>ბიზნესსა და მენეჯმენტთან დაკავშირებული კონსულტაციები და მომსახურებები.</v>
      </c>
      <c r="L30" s="37" t="s">
        <v>108</v>
      </c>
      <c r="M30" s="24" t="s">
        <v>109</v>
      </c>
    </row>
    <row r="31" spans="1:13" ht="44.25" customHeight="1">
      <c r="A31" s="21">
        <v>26</v>
      </c>
      <c r="B31" s="2" t="s">
        <v>110</v>
      </c>
      <c r="C31" s="2" t="s">
        <v>111</v>
      </c>
      <c r="D31" s="22">
        <v>168960</v>
      </c>
      <c r="E31" s="22">
        <f>14080+14080+14080+14080+14080</f>
        <v>70400</v>
      </c>
      <c r="F31" s="22">
        <f t="shared" si="0"/>
        <v>98560</v>
      </c>
      <c r="G31" s="21" t="s">
        <v>112</v>
      </c>
      <c r="H31" s="21" t="s">
        <v>23</v>
      </c>
      <c r="I31" s="2" t="s">
        <v>24</v>
      </c>
      <c r="J31" s="23">
        <v>72400000</v>
      </c>
      <c r="K31" s="22" t="str">
        <f>'[1]გეგმა 2024'!C82</f>
        <v>ინტერნეტ მომსახურებები</v>
      </c>
      <c r="L31" s="42" t="s">
        <v>113</v>
      </c>
      <c r="M31" s="42" t="s">
        <v>113</v>
      </c>
    </row>
    <row r="32" spans="1:13" ht="36.75" customHeight="1">
      <c r="A32" s="21">
        <v>27</v>
      </c>
      <c r="B32" s="2" t="s">
        <v>114</v>
      </c>
      <c r="C32" s="2" t="s">
        <v>115</v>
      </c>
      <c r="D32" s="22">
        <v>25000</v>
      </c>
      <c r="E32" s="22">
        <f>1669.48+1110.8+1302.84+97.7+1826.3</f>
        <v>6007.12</v>
      </c>
      <c r="F32" s="22">
        <f t="shared" si="0"/>
        <v>18992.88</v>
      </c>
      <c r="G32" s="21" t="s">
        <v>112</v>
      </c>
      <c r="H32" s="21" t="s">
        <v>23</v>
      </c>
      <c r="I32" s="2" t="s">
        <v>24</v>
      </c>
      <c r="J32" s="23">
        <v>50100000</v>
      </c>
      <c r="K32" s="22" t="str">
        <f>'[1]გეგმა 2024'!C51</f>
        <v>ავტომობილების ტექნიკური მომსახურება.</v>
      </c>
      <c r="L32" s="43" t="s">
        <v>116</v>
      </c>
      <c r="M32" s="43" t="s">
        <v>116</v>
      </c>
    </row>
    <row r="33" spans="1:13" ht="67.5">
      <c r="A33" s="21">
        <v>28</v>
      </c>
      <c r="B33" s="2" t="s">
        <v>117</v>
      </c>
      <c r="C33" s="2" t="s">
        <v>118</v>
      </c>
      <c r="D33" s="22">
        <v>27409</v>
      </c>
      <c r="E33" s="22">
        <f>48+44</f>
        <v>92</v>
      </c>
      <c r="F33" s="22">
        <f t="shared" si="0"/>
        <v>27317</v>
      </c>
      <c r="G33" s="21" t="s">
        <v>112</v>
      </c>
      <c r="H33" s="21" t="s">
        <v>23</v>
      </c>
      <c r="I33" s="2" t="s">
        <v>24</v>
      </c>
      <c r="J33" s="23">
        <v>63100000</v>
      </c>
      <c r="K33" s="22" t="str">
        <f>'[1]გეგმა 2024'!C67</f>
        <v>ტვირთის გადაზიდვისა და შენახვის მომსახურებები</v>
      </c>
      <c r="L33" s="42" t="s">
        <v>119</v>
      </c>
      <c r="M33" s="42" t="s">
        <v>119</v>
      </c>
    </row>
    <row r="34" spans="1:13" ht="43.5" customHeight="1">
      <c r="A34" s="21">
        <v>29</v>
      </c>
      <c r="B34" s="2" t="s">
        <v>120</v>
      </c>
      <c r="C34" s="2" t="s">
        <v>121</v>
      </c>
      <c r="D34" s="22">
        <v>3000</v>
      </c>
      <c r="E34" s="22">
        <f>250+250+250+250+250</f>
        <v>1250</v>
      </c>
      <c r="F34" s="22">
        <f t="shared" si="0"/>
        <v>1750</v>
      </c>
      <c r="G34" s="44" t="s">
        <v>122</v>
      </c>
      <c r="H34" s="21" t="s">
        <v>23</v>
      </c>
      <c r="I34" s="2" t="s">
        <v>31</v>
      </c>
      <c r="J34" s="23">
        <v>50700000</v>
      </c>
      <c r="K34" s="22" t="str">
        <f>'[1]გეგმა 2024'!C55</f>
        <v xml:space="preserve"> შენობის მოწყობილობების შეკეთება და ტექნიკური მომსახურება</v>
      </c>
      <c r="L34" s="28" t="s">
        <v>70</v>
      </c>
      <c r="M34" s="24" t="s">
        <v>123</v>
      </c>
    </row>
    <row r="35" spans="1:13" ht="37.5" customHeight="1">
      <c r="A35" s="21">
        <v>30</v>
      </c>
      <c r="B35" s="2" t="s">
        <v>124</v>
      </c>
      <c r="C35" s="2" t="s">
        <v>125</v>
      </c>
      <c r="D35" s="22">
        <v>5520</v>
      </c>
      <c r="E35" s="22">
        <f>460+460+460+460+460</f>
        <v>2300</v>
      </c>
      <c r="F35" s="22">
        <f t="shared" si="0"/>
        <v>3220</v>
      </c>
      <c r="G35" s="44" t="s">
        <v>122</v>
      </c>
      <c r="H35" s="45" t="s">
        <v>23</v>
      </c>
      <c r="I35" s="2" t="s">
        <v>31</v>
      </c>
      <c r="J35" s="23">
        <v>42900000</v>
      </c>
      <c r="K35" s="22" t="str">
        <f>'[1]გეგმა 2024'!C43</f>
        <v>ჰიგიენური საშუალებების დისპენსერები</v>
      </c>
      <c r="L35" s="28" t="s">
        <v>70</v>
      </c>
      <c r="M35" s="24" t="s">
        <v>126</v>
      </c>
    </row>
    <row r="36" spans="1:13" ht="44.25" customHeight="1">
      <c r="A36" s="46">
        <v>31</v>
      </c>
      <c r="B36" s="47" t="s">
        <v>127</v>
      </c>
      <c r="C36" s="47" t="s">
        <v>128</v>
      </c>
      <c r="D36" s="48">
        <v>2118.6</v>
      </c>
      <c r="E36" s="48">
        <f>2118.6</f>
        <v>2118.6</v>
      </c>
      <c r="F36" s="48">
        <f t="shared" si="0"/>
        <v>0</v>
      </c>
      <c r="G36" s="49" t="s">
        <v>129</v>
      </c>
      <c r="H36" s="50" t="s">
        <v>23</v>
      </c>
      <c r="I36" s="47" t="s">
        <v>31</v>
      </c>
      <c r="J36" s="51">
        <v>33700000</v>
      </c>
      <c r="K36" s="48" t="str">
        <f>'[1]გეგმა 2024'!C31</f>
        <v>პირადი ჰიგიენის საშუალებები</v>
      </c>
      <c r="L36" s="52" t="s">
        <v>70</v>
      </c>
      <c r="M36" s="53" t="s">
        <v>130</v>
      </c>
    </row>
    <row r="37" spans="1:13" ht="46.5" customHeight="1">
      <c r="A37" s="21">
        <v>32</v>
      </c>
      <c r="B37" s="2" t="s">
        <v>131</v>
      </c>
      <c r="C37" s="2" t="s">
        <v>132</v>
      </c>
      <c r="D37" s="22">
        <v>800</v>
      </c>
      <c r="E37" s="22">
        <f>800</f>
        <v>800</v>
      </c>
      <c r="F37" s="22">
        <f t="shared" si="0"/>
        <v>0</v>
      </c>
      <c r="G37" s="44" t="s">
        <v>129</v>
      </c>
      <c r="H37" s="45" t="s">
        <v>133</v>
      </c>
      <c r="I37" s="2" t="s">
        <v>31</v>
      </c>
      <c r="J37" s="23">
        <v>63700000</v>
      </c>
      <c r="K37" s="22" t="str">
        <f>'[1]გეგმა 2024'!C69</f>
        <v> სახმელეთო, წყლისა და საჰაერო ტრანსპორტის დამხმარე მომსახურებები</v>
      </c>
      <c r="L37" s="26" t="s">
        <v>70</v>
      </c>
      <c r="M37" s="24" t="s">
        <v>134</v>
      </c>
    </row>
    <row r="38" spans="1:13" ht="48.75" customHeight="1">
      <c r="A38" s="46">
        <v>33</v>
      </c>
      <c r="B38" s="47" t="s">
        <v>135</v>
      </c>
      <c r="C38" s="47" t="s">
        <v>136</v>
      </c>
      <c r="D38" s="48">
        <v>60</v>
      </c>
      <c r="E38" s="48">
        <f>60</f>
        <v>60</v>
      </c>
      <c r="F38" s="48">
        <f t="shared" si="0"/>
        <v>0</v>
      </c>
      <c r="G38" s="49" t="s">
        <v>129</v>
      </c>
      <c r="H38" s="50" t="s">
        <v>133</v>
      </c>
      <c r="I38" s="47" t="s">
        <v>31</v>
      </c>
      <c r="J38" s="51">
        <v>71600000</v>
      </c>
      <c r="K38" s="48" t="str">
        <f>'[1]გეგმა 2024'!C77</f>
        <v>ტექნიკური შემოწმება, ანალიზი და საკონსულტაციო მომსახურებები</v>
      </c>
      <c r="L38" s="54" t="s">
        <v>70</v>
      </c>
      <c r="M38" s="53" t="s">
        <v>137</v>
      </c>
    </row>
    <row r="39" spans="1:13" ht="47.25" customHeight="1">
      <c r="A39" s="46">
        <v>34</v>
      </c>
      <c r="B39" s="47" t="s">
        <v>138</v>
      </c>
      <c r="C39" s="47" t="s">
        <v>139</v>
      </c>
      <c r="D39" s="48">
        <f>55684.27</f>
        <v>55684.27</v>
      </c>
      <c r="E39" s="48">
        <f>55684.27</f>
        <v>55684.27</v>
      </c>
      <c r="F39" s="48">
        <f t="shared" si="0"/>
        <v>0</v>
      </c>
      <c r="G39" s="49" t="s">
        <v>129</v>
      </c>
      <c r="H39" s="50" t="s">
        <v>133</v>
      </c>
      <c r="I39" s="47" t="s">
        <v>31</v>
      </c>
      <c r="J39" s="51">
        <v>39100000</v>
      </c>
      <c r="K39" s="48" t="str">
        <f>'[1]გეგმა 2024'!C36</f>
        <v>ავეჯი (სტენდები)</v>
      </c>
      <c r="L39" s="54" t="s">
        <v>108</v>
      </c>
      <c r="M39" s="53" t="s">
        <v>140</v>
      </c>
    </row>
    <row r="40" spans="1:13" ht="49.5" customHeight="1">
      <c r="A40" s="46">
        <v>34</v>
      </c>
      <c r="B40" s="47" t="s">
        <v>138</v>
      </c>
      <c r="C40" s="47" t="s">
        <v>139</v>
      </c>
      <c r="D40" s="48">
        <v>78200.100000000006</v>
      </c>
      <c r="E40" s="48">
        <v>78200.100000000006</v>
      </c>
      <c r="F40" s="48">
        <f t="shared" si="0"/>
        <v>0</v>
      </c>
      <c r="G40" s="49" t="s">
        <v>129</v>
      </c>
      <c r="H40" s="50" t="s">
        <v>133</v>
      </c>
      <c r="I40" s="47" t="s">
        <v>31</v>
      </c>
      <c r="J40" s="51">
        <v>39100000</v>
      </c>
      <c r="K40" s="48" t="str">
        <f>'[1]გეგმა 2024 (საკ. შ.)'!C7</f>
        <v>სტენდები (საკ.შ.)</v>
      </c>
      <c r="L40" s="55" t="s">
        <v>108</v>
      </c>
      <c r="M40" s="53" t="s">
        <v>140</v>
      </c>
    </row>
    <row r="41" spans="1:13" ht="45.75" customHeight="1">
      <c r="A41" s="46">
        <v>35</v>
      </c>
      <c r="B41" s="47" t="s">
        <v>141</v>
      </c>
      <c r="C41" s="47" t="s">
        <v>142</v>
      </c>
      <c r="D41" s="51">
        <v>59300</v>
      </c>
      <c r="E41" s="48">
        <f>59300</f>
        <v>59300</v>
      </c>
      <c r="F41" s="48">
        <f t="shared" si="0"/>
        <v>0</v>
      </c>
      <c r="G41" s="49" t="s">
        <v>143</v>
      </c>
      <c r="H41" s="50" t="s">
        <v>133</v>
      </c>
      <c r="I41" s="47" t="s">
        <v>24</v>
      </c>
      <c r="J41" s="51">
        <v>79300000</v>
      </c>
      <c r="K41" s="48" t="str">
        <f>'[1]გეგმა 2024'!C89</f>
        <v>ბაზრის კვლევა და ეკონომიკური კვლევა გამოკითხვები და სტატისტიკა</v>
      </c>
      <c r="L41" s="52" t="s">
        <v>144</v>
      </c>
      <c r="M41" s="53" t="s">
        <v>144</v>
      </c>
    </row>
    <row r="42" spans="1:13" ht="61.5" customHeight="1">
      <c r="A42" s="21">
        <v>36</v>
      </c>
      <c r="B42" s="2" t="s">
        <v>145</v>
      </c>
      <c r="C42" s="2" t="s">
        <v>146</v>
      </c>
      <c r="D42" s="22">
        <v>77378.399999999994</v>
      </c>
      <c r="E42" s="22"/>
      <c r="F42" s="22">
        <f t="shared" si="0"/>
        <v>77378.399999999994</v>
      </c>
      <c r="G42" s="44" t="s">
        <v>143</v>
      </c>
      <c r="H42" s="45" t="s">
        <v>147</v>
      </c>
      <c r="I42" s="2" t="s">
        <v>31</v>
      </c>
      <c r="J42" s="23">
        <v>39100000</v>
      </c>
      <c r="K42" s="22" t="str">
        <f>'[1]გეგმა 2024'!C36</f>
        <v>ავეჯი (სტენდები)</v>
      </c>
      <c r="L42" s="26" t="s">
        <v>108</v>
      </c>
      <c r="M42" s="24"/>
    </row>
    <row r="43" spans="1:13" ht="33.75" customHeight="1">
      <c r="A43" s="21">
        <v>37</v>
      </c>
      <c r="B43" s="2" t="s">
        <v>148</v>
      </c>
      <c r="C43" s="2" t="s">
        <v>149</v>
      </c>
      <c r="D43" s="22">
        <v>7700</v>
      </c>
      <c r="E43" s="22">
        <f>700+700+700+700</f>
        <v>2800</v>
      </c>
      <c r="F43" s="22">
        <f t="shared" si="0"/>
        <v>4900</v>
      </c>
      <c r="G43" s="44" t="s">
        <v>150</v>
      </c>
      <c r="H43" s="45" t="s">
        <v>147</v>
      </c>
      <c r="I43" s="2" t="s">
        <v>31</v>
      </c>
      <c r="J43" s="23">
        <v>92400000</v>
      </c>
      <c r="K43" s="22" t="str">
        <f>'[1]გეგმა 2024'!C112</f>
        <v>ახალი ამბების სააგენტოების მომსახურეობები.</v>
      </c>
      <c r="L43" s="26" t="s">
        <v>108</v>
      </c>
      <c r="M43" s="56" t="s">
        <v>151</v>
      </c>
    </row>
    <row r="44" spans="1:13" ht="45.75" customHeight="1">
      <c r="A44" s="21">
        <v>38</v>
      </c>
      <c r="B44" s="2" t="s">
        <v>152</v>
      </c>
      <c r="C44" s="2" t="s">
        <v>153</v>
      </c>
      <c r="D44" s="22">
        <v>4400</v>
      </c>
      <c r="E44" s="22">
        <f>400+400+400+400</f>
        <v>1600</v>
      </c>
      <c r="F44" s="22">
        <f t="shared" si="0"/>
        <v>2800</v>
      </c>
      <c r="G44" s="44" t="s">
        <v>150</v>
      </c>
      <c r="H44" s="45" t="s">
        <v>147</v>
      </c>
      <c r="I44" s="2" t="s">
        <v>31</v>
      </c>
      <c r="J44" s="23">
        <v>92400000</v>
      </c>
      <c r="K44" s="22" t="str">
        <f>'[1]გეგმა 2024'!C112</f>
        <v>ახალი ამბების სააგენტოების მომსახურეობები.</v>
      </c>
      <c r="L44" s="26" t="s">
        <v>108</v>
      </c>
      <c r="M44" s="56" t="s">
        <v>154</v>
      </c>
    </row>
    <row r="45" spans="1:13" ht="47.25" customHeight="1">
      <c r="A45" s="21">
        <v>39</v>
      </c>
      <c r="B45" s="2" t="s">
        <v>155</v>
      </c>
      <c r="C45" s="2" t="s">
        <v>156</v>
      </c>
      <c r="D45" s="22">
        <v>4400</v>
      </c>
      <c r="E45" s="22">
        <f>400+400+400+400</f>
        <v>1600</v>
      </c>
      <c r="F45" s="22">
        <f t="shared" si="0"/>
        <v>2800</v>
      </c>
      <c r="G45" s="44" t="s">
        <v>150</v>
      </c>
      <c r="H45" s="45" t="s">
        <v>147</v>
      </c>
      <c r="I45" s="2" t="s">
        <v>31</v>
      </c>
      <c r="J45" s="23">
        <v>92400000</v>
      </c>
      <c r="K45" s="22" t="str">
        <f>'[1]გეგმა 2024'!C112</f>
        <v>ახალი ამბების სააგენტოების მომსახურეობები.</v>
      </c>
      <c r="L45" s="26" t="s">
        <v>108</v>
      </c>
      <c r="M45" s="56" t="s">
        <v>157</v>
      </c>
    </row>
    <row r="46" spans="1:13" ht="36" customHeight="1">
      <c r="A46" s="21">
        <v>40</v>
      </c>
      <c r="B46" s="2" t="s">
        <v>158</v>
      </c>
      <c r="C46" s="2" t="s">
        <v>159</v>
      </c>
      <c r="D46" s="22">
        <v>4400</v>
      </c>
      <c r="E46" s="22">
        <f>400+400+400+400</f>
        <v>1600</v>
      </c>
      <c r="F46" s="22">
        <f t="shared" si="0"/>
        <v>2800</v>
      </c>
      <c r="G46" s="44" t="s">
        <v>150</v>
      </c>
      <c r="H46" s="45" t="s">
        <v>147</v>
      </c>
      <c r="I46" s="2" t="s">
        <v>31</v>
      </c>
      <c r="J46" s="23">
        <v>92400000</v>
      </c>
      <c r="K46" s="22" t="str">
        <f>'[1]გეგმა 2024'!C112</f>
        <v>ახალი ამბების სააგენტოების მომსახურეობები.</v>
      </c>
      <c r="L46" s="26" t="s">
        <v>108</v>
      </c>
      <c r="M46" s="56" t="s">
        <v>160</v>
      </c>
    </row>
    <row r="47" spans="1:13" ht="42" customHeight="1">
      <c r="A47" s="21">
        <v>41</v>
      </c>
      <c r="B47" s="2" t="s">
        <v>161</v>
      </c>
      <c r="C47" s="2" t="s">
        <v>162</v>
      </c>
      <c r="D47" s="22">
        <v>4400</v>
      </c>
      <c r="E47" s="22">
        <f>300+300+300+300</f>
        <v>1200</v>
      </c>
      <c r="F47" s="22">
        <f t="shared" si="0"/>
        <v>3200</v>
      </c>
      <c r="G47" s="44" t="s">
        <v>150</v>
      </c>
      <c r="H47" s="45" t="s">
        <v>147</v>
      </c>
      <c r="I47" s="2" t="s">
        <v>31</v>
      </c>
      <c r="J47" s="23">
        <v>92400000</v>
      </c>
      <c r="K47" s="22" t="str">
        <f>'[1]გეგმა 2024'!C112</f>
        <v>ახალი ამბების სააგენტოების მომსახურეობები.</v>
      </c>
      <c r="L47" s="26" t="s">
        <v>108</v>
      </c>
      <c r="M47" s="56" t="s">
        <v>163</v>
      </c>
    </row>
    <row r="48" spans="1:13" ht="60" customHeight="1">
      <c r="A48" s="46">
        <v>42</v>
      </c>
      <c r="B48" s="47" t="s">
        <v>164</v>
      </c>
      <c r="C48" s="47" t="s">
        <v>165</v>
      </c>
      <c r="D48" s="48">
        <v>3498</v>
      </c>
      <c r="E48" s="48">
        <f>3498</f>
        <v>3498</v>
      </c>
      <c r="F48" s="48">
        <f t="shared" si="0"/>
        <v>0</v>
      </c>
      <c r="G48" s="49" t="s">
        <v>150</v>
      </c>
      <c r="H48" s="50" t="s">
        <v>147</v>
      </c>
      <c r="I48" s="47" t="s">
        <v>31</v>
      </c>
      <c r="J48" s="51">
        <v>60400000</v>
      </c>
      <c r="K48" s="48" t="str">
        <f>'[1]გეგმა 2024'!C65</f>
        <v>საჰაერო ტრანსპორტის მომსახურებები</v>
      </c>
      <c r="L48" s="54" t="s">
        <v>166</v>
      </c>
      <c r="M48" s="53" t="s">
        <v>167</v>
      </c>
    </row>
    <row r="49" spans="1:13" ht="37.5" customHeight="1">
      <c r="A49" s="21">
        <v>43</v>
      </c>
      <c r="B49" s="2" t="s">
        <v>168</v>
      </c>
      <c r="C49" s="2" t="s">
        <v>169</v>
      </c>
      <c r="D49" s="22">
        <v>118140</v>
      </c>
      <c r="E49" s="22">
        <f>2109.8+10548.2+10548.2+10548.2+10548.2</f>
        <v>44302.600000000006</v>
      </c>
      <c r="F49" s="22">
        <f t="shared" si="0"/>
        <v>73837.399999999994</v>
      </c>
      <c r="G49" s="44" t="s">
        <v>150</v>
      </c>
      <c r="H49" s="45" t="s">
        <v>23</v>
      </c>
      <c r="I49" s="2" t="s">
        <v>24</v>
      </c>
      <c r="J49" s="23">
        <v>72400000</v>
      </c>
      <c r="K49" s="22" t="str">
        <f>'[1]გეგმა 2024'!C82</f>
        <v>ინტერნეტ მომსახურებები</v>
      </c>
      <c r="L49" s="26" t="s">
        <v>170</v>
      </c>
      <c r="M49" s="24" t="s">
        <v>170</v>
      </c>
    </row>
    <row r="50" spans="1:13" ht="45.75" customHeight="1">
      <c r="A50" s="46">
        <v>44</v>
      </c>
      <c r="B50" s="47" t="s">
        <v>171</v>
      </c>
      <c r="C50" s="47" t="s">
        <v>172</v>
      </c>
      <c r="D50" s="48">
        <v>175.5</v>
      </c>
      <c r="E50" s="48">
        <f>175.5</f>
        <v>175.5</v>
      </c>
      <c r="F50" s="48">
        <f t="shared" si="0"/>
        <v>0</v>
      </c>
      <c r="G50" s="49" t="s">
        <v>150</v>
      </c>
      <c r="H50" s="50" t="s">
        <v>147</v>
      </c>
      <c r="I50" s="47" t="s">
        <v>31</v>
      </c>
      <c r="J50" s="51">
        <v>15800000</v>
      </c>
      <c r="K50" s="48" t="str">
        <f>'[1]გეგმა 2024'!C12</f>
        <v>სხვადასხვა საკვები პროდუქტი</v>
      </c>
      <c r="L50" s="52" t="s">
        <v>166</v>
      </c>
      <c r="M50" s="53" t="s">
        <v>173</v>
      </c>
    </row>
    <row r="51" spans="1:13" ht="39" customHeight="1">
      <c r="A51" s="46">
        <v>45</v>
      </c>
      <c r="B51" s="47" t="s">
        <v>171</v>
      </c>
      <c r="C51" s="47" t="s">
        <v>174</v>
      </c>
      <c r="D51" s="48">
        <v>51.8</v>
      </c>
      <c r="E51" s="48">
        <f>51.8</f>
        <v>51.8</v>
      </c>
      <c r="F51" s="48">
        <f t="shared" si="0"/>
        <v>0</v>
      </c>
      <c r="G51" s="49" t="s">
        <v>150</v>
      </c>
      <c r="H51" s="50" t="s">
        <v>147</v>
      </c>
      <c r="I51" s="47" t="s">
        <v>31</v>
      </c>
      <c r="J51" s="51">
        <v>15800000</v>
      </c>
      <c r="K51" s="48" t="str">
        <f>'[1]გეგმა 2024'!C12</f>
        <v>სხვადასხვა საკვები პროდუქტი</v>
      </c>
      <c r="L51" s="52" t="s">
        <v>166</v>
      </c>
      <c r="M51" s="57" t="s">
        <v>175</v>
      </c>
    </row>
    <row r="52" spans="1:13" ht="63" customHeight="1">
      <c r="A52" s="21">
        <v>46</v>
      </c>
      <c r="B52" s="2" t="s">
        <v>176</v>
      </c>
      <c r="C52" s="2" t="s">
        <v>177</v>
      </c>
      <c r="D52" s="22">
        <v>389500.326</v>
      </c>
      <c r="E52" s="22">
        <f>384206.01</f>
        <v>384206.01</v>
      </c>
      <c r="F52" s="22">
        <f t="shared" si="0"/>
        <v>5294.3159999999916</v>
      </c>
      <c r="G52" s="44" t="s">
        <v>150</v>
      </c>
      <c r="H52" s="45" t="s">
        <v>147</v>
      </c>
      <c r="I52" s="2" t="s">
        <v>31</v>
      </c>
      <c r="J52" s="23">
        <v>39100000</v>
      </c>
      <c r="K52" s="22" t="str">
        <f>'[1]გეგმა 2024'!C36</f>
        <v>ავეჯი (სტენდები)</v>
      </c>
      <c r="L52" s="28" t="s">
        <v>108</v>
      </c>
      <c r="M52" s="24" t="s">
        <v>178</v>
      </c>
    </row>
    <row r="53" spans="1:13" ht="48" customHeight="1">
      <c r="A53" s="46">
        <v>47</v>
      </c>
      <c r="B53" s="47" t="s">
        <v>179</v>
      </c>
      <c r="C53" s="47" t="s">
        <v>180</v>
      </c>
      <c r="D53" s="48">
        <f>11650.77+2097.14+11472.86+2017.3</f>
        <v>27238.07</v>
      </c>
      <c r="E53" s="48">
        <f>11650.77+2097.14+11472.86+2017.3</f>
        <v>27238.07</v>
      </c>
      <c r="F53" s="48">
        <f t="shared" si="0"/>
        <v>0</v>
      </c>
      <c r="G53" s="49" t="s">
        <v>181</v>
      </c>
      <c r="H53" s="50" t="s">
        <v>147</v>
      </c>
      <c r="I53" s="47" t="s">
        <v>31</v>
      </c>
      <c r="J53" s="51">
        <v>79300000</v>
      </c>
      <c r="K53" s="48" t="str">
        <f>'[1]გეგმა 2024'!C87</f>
        <v>ბაზრის კვლევა და ეკონომიკური კვლევა გამოკითხვები და სტატისტიკა.</v>
      </c>
      <c r="L53" s="52" t="s">
        <v>108</v>
      </c>
      <c r="M53" s="53" t="s">
        <v>182</v>
      </c>
    </row>
    <row r="54" spans="1:13" ht="57.75" customHeight="1">
      <c r="A54" s="46">
        <v>48</v>
      </c>
      <c r="B54" s="47" t="s">
        <v>183</v>
      </c>
      <c r="C54" s="47" t="s">
        <v>184</v>
      </c>
      <c r="D54" s="48">
        <f>14375.41</f>
        <v>14375.41</v>
      </c>
      <c r="E54" s="48">
        <f>14375.41</f>
        <v>14375.41</v>
      </c>
      <c r="F54" s="48">
        <f t="shared" si="0"/>
        <v>0</v>
      </c>
      <c r="G54" s="49" t="s">
        <v>185</v>
      </c>
      <c r="H54" s="50" t="s">
        <v>147</v>
      </c>
      <c r="I54" s="47" t="s">
        <v>31</v>
      </c>
      <c r="J54" s="51">
        <v>55300000</v>
      </c>
      <c r="K54" s="48" t="str">
        <f>'[1]გეგმა 2024'!C60</f>
        <v>რესტორნებისა და კვების საწარმოების მომსახურეობები ..</v>
      </c>
      <c r="L54" s="52" t="s">
        <v>108</v>
      </c>
      <c r="M54" s="53" t="s">
        <v>186</v>
      </c>
    </row>
    <row r="55" spans="1:13" ht="50.25" customHeight="1">
      <c r="A55" s="46">
        <v>49</v>
      </c>
      <c r="B55" s="47" t="s">
        <v>187</v>
      </c>
      <c r="C55" s="47" t="s">
        <v>188</v>
      </c>
      <c r="D55" s="48">
        <v>4150</v>
      </c>
      <c r="E55" s="48">
        <f>4150</f>
        <v>4150</v>
      </c>
      <c r="F55" s="48">
        <f t="shared" si="0"/>
        <v>0</v>
      </c>
      <c r="G55" s="49" t="s">
        <v>185</v>
      </c>
      <c r="H55" s="50" t="s">
        <v>147</v>
      </c>
      <c r="I55" s="47" t="s">
        <v>31</v>
      </c>
      <c r="J55" s="51">
        <v>63500000</v>
      </c>
      <c r="K55" s="48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55" s="54" t="s">
        <v>166</v>
      </c>
      <c r="M55" s="53" t="s">
        <v>189</v>
      </c>
    </row>
    <row r="56" spans="1:13" ht="37.5" customHeight="1">
      <c r="A56" s="46">
        <v>50</v>
      </c>
      <c r="B56" s="47" t="s">
        <v>190</v>
      </c>
      <c r="C56" s="47" t="s">
        <v>191</v>
      </c>
      <c r="D56" s="48">
        <f>127316.25</f>
        <v>127316.25</v>
      </c>
      <c r="E56" s="48">
        <f>127316.25</f>
        <v>127316.25</v>
      </c>
      <c r="F56" s="48">
        <f t="shared" si="0"/>
        <v>0</v>
      </c>
      <c r="G56" s="49" t="s">
        <v>185</v>
      </c>
      <c r="H56" s="50" t="s">
        <v>147</v>
      </c>
      <c r="I56" s="47" t="s">
        <v>31</v>
      </c>
      <c r="J56" s="51">
        <v>39100000</v>
      </c>
      <c r="K56" s="48" t="str">
        <f>'[1]გეგმა 2024'!C36</f>
        <v>ავეჯი (სტენდები)</v>
      </c>
      <c r="L56" s="53" t="s">
        <v>108</v>
      </c>
      <c r="M56" s="53" t="s">
        <v>192</v>
      </c>
    </row>
    <row r="57" spans="1:13" ht="41.25" customHeight="1">
      <c r="A57" s="21">
        <v>51</v>
      </c>
      <c r="B57" s="2" t="s">
        <v>193</v>
      </c>
      <c r="C57" s="2" t="s">
        <v>191</v>
      </c>
      <c r="D57" s="22">
        <v>477900</v>
      </c>
      <c r="E57" s="22">
        <f>393768+70878.24</f>
        <v>464646.24</v>
      </c>
      <c r="F57" s="22">
        <f t="shared" si="0"/>
        <v>13253.760000000009</v>
      </c>
      <c r="G57" s="44" t="s">
        <v>185</v>
      </c>
      <c r="H57" s="45" t="s">
        <v>147</v>
      </c>
      <c r="I57" s="2" t="s">
        <v>31</v>
      </c>
      <c r="J57" s="23">
        <v>79300000</v>
      </c>
      <c r="K57" s="22" t="str">
        <f>'[1]გეგმა 2024'!C87</f>
        <v>ბაზრის კვლევა და ეკონომიკური კვლევა გამოკითხვები და სტატისტიკა.</v>
      </c>
      <c r="L57" s="24" t="s">
        <v>108</v>
      </c>
      <c r="M57" s="58" t="s">
        <v>194</v>
      </c>
    </row>
    <row r="58" spans="1:13" ht="54.75" customHeight="1">
      <c r="A58" s="46">
        <v>52</v>
      </c>
      <c r="B58" s="59" t="s">
        <v>195</v>
      </c>
      <c r="C58" s="47" t="s">
        <v>196</v>
      </c>
      <c r="D58" s="48">
        <f>137731.52</f>
        <v>137731.51999999999</v>
      </c>
      <c r="E58" s="48">
        <f>137731.52</f>
        <v>137731.51999999999</v>
      </c>
      <c r="F58" s="48">
        <f t="shared" si="0"/>
        <v>0</v>
      </c>
      <c r="G58" s="49" t="s">
        <v>185</v>
      </c>
      <c r="H58" s="50" t="s">
        <v>147</v>
      </c>
      <c r="I58" s="47" t="s">
        <v>31</v>
      </c>
      <c r="J58" s="51">
        <v>39100000</v>
      </c>
      <c r="K58" s="48" t="str">
        <f>'[1]გეგმა 2024'!C36</f>
        <v>ავეჯი (სტენდები)</v>
      </c>
      <c r="L58" s="54" t="s">
        <v>108</v>
      </c>
      <c r="M58" s="53"/>
    </row>
    <row r="59" spans="1:13" ht="37.5" customHeight="1">
      <c r="A59" s="46">
        <v>52</v>
      </c>
      <c r="B59" s="59" t="s">
        <v>195</v>
      </c>
      <c r="C59" s="47" t="s">
        <v>196</v>
      </c>
      <c r="D59" s="48">
        <f>38935.44</f>
        <v>38935.440000000002</v>
      </c>
      <c r="E59" s="48">
        <f>38935.44</f>
        <v>38935.440000000002</v>
      </c>
      <c r="F59" s="48">
        <f t="shared" si="0"/>
        <v>0</v>
      </c>
      <c r="G59" s="49" t="s">
        <v>185</v>
      </c>
      <c r="H59" s="50" t="s">
        <v>147</v>
      </c>
      <c r="I59" s="47" t="s">
        <v>31</v>
      </c>
      <c r="J59" s="51">
        <v>39100000</v>
      </c>
      <c r="K59" s="48" t="str">
        <f>'[1]გეგმა 2024 (საკ. შ.)'!C7</f>
        <v>სტენდები (საკ.შ.)</v>
      </c>
      <c r="L59" s="54" t="s">
        <v>108</v>
      </c>
      <c r="M59" s="53" t="s">
        <v>197</v>
      </c>
    </row>
    <row r="60" spans="1:13" ht="33" customHeight="1">
      <c r="A60" s="46">
        <v>53</v>
      </c>
      <c r="B60" s="47" t="s">
        <v>198</v>
      </c>
      <c r="C60" s="47" t="s">
        <v>165</v>
      </c>
      <c r="D60" s="48">
        <v>20072.8</v>
      </c>
      <c r="E60" s="48">
        <f>20072.8</f>
        <v>20072.8</v>
      </c>
      <c r="F60" s="48">
        <f t="shared" si="0"/>
        <v>0</v>
      </c>
      <c r="G60" s="49" t="s">
        <v>185</v>
      </c>
      <c r="H60" s="50" t="s">
        <v>147</v>
      </c>
      <c r="I60" s="47" t="s">
        <v>31</v>
      </c>
      <c r="J60" s="51">
        <v>60400000</v>
      </c>
      <c r="K60" s="48" t="str">
        <f>'[1]გეგმა 2024'!C65</f>
        <v>საჰაერო ტრანსპორტის მომსახურებები</v>
      </c>
      <c r="L60" s="54" t="s">
        <v>166</v>
      </c>
      <c r="M60" s="53" t="s">
        <v>199</v>
      </c>
    </row>
    <row r="61" spans="1:13" ht="36" customHeight="1">
      <c r="A61" s="46">
        <v>54</v>
      </c>
      <c r="B61" s="47" t="s">
        <v>200</v>
      </c>
      <c r="C61" s="47" t="s">
        <v>165</v>
      </c>
      <c r="D61" s="48">
        <v>14452</v>
      </c>
      <c r="E61" s="48">
        <f>14452</f>
        <v>14452</v>
      </c>
      <c r="F61" s="48">
        <f t="shared" si="0"/>
        <v>0</v>
      </c>
      <c r="G61" s="49" t="s">
        <v>185</v>
      </c>
      <c r="H61" s="50" t="s">
        <v>147</v>
      </c>
      <c r="I61" s="47" t="s">
        <v>31</v>
      </c>
      <c r="J61" s="51">
        <v>60400000</v>
      </c>
      <c r="K61" s="48" t="str">
        <f>'[1]გეგმა 2024'!C65</f>
        <v>საჰაერო ტრანსპორტის მომსახურებები</v>
      </c>
      <c r="L61" s="54" t="s">
        <v>166</v>
      </c>
      <c r="M61" s="53" t="s">
        <v>201</v>
      </c>
    </row>
    <row r="62" spans="1:13" ht="39" customHeight="1">
      <c r="A62" s="46">
        <v>55</v>
      </c>
      <c r="B62" s="47" t="s">
        <v>164</v>
      </c>
      <c r="C62" s="47" t="s">
        <v>165</v>
      </c>
      <c r="D62" s="48">
        <v>12450</v>
      </c>
      <c r="E62" s="48">
        <f>12450</f>
        <v>12450</v>
      </c>
      <c r="F62" s="48">
        <f t="shared" si="0"/>
        <v>0</v>
      </c>
      <c r="G62" s="49" t="s">
        <v>185</v>
      </c>
      <c r="H62" s="50" t="s">
        <v>147</v>
      </c>
      <c r="I62" s="47" t="s">
        <v>31</v>
      </c>
      <c r="J62" s="51">
        <v>60400000</v>
      </c>
      <c r="K62" s="48" t="str">
        <f>'[1]გეგმა 2024'!C65</f>
        <v>საჰაერო ტრანსპორტის მომსახურებები</v>
      </c>
      <c r="L62" s="54" t="s">
        <v>166</v>
      </c>
      <c r="M62" s="60" t="s">
        <v>202</v>
      </c>
    </row>
    <row r="63" spans="1:13" ht="25.5" customHeight="1">
      <c r="A63" s="46">
        <v>56</v>
      </c>
      <c r="B63" s="47" t="s">
        <v>203</v>
      </c>
      <c r="C63" s="47" t="s">
        <v>188</v>
      </c>
      <c r="D63" s="48">
        <v>11920</v>
      </c>
      <c r="E63" s="48">
        <f>11920</f>
        <v>11920</v>
      </c>
      <c r="F63" s="48">
        <f t="shared" si="0"/>
        <v>0</v>
      </c>
      <c r="G63" s="49" t="s">
        <v>204</v>
      </c>
      <c r="H63" s="50" t="s">
        <v>147</v>
      </c>
      <c r="I63" s="47" t="s">
        <v>31</v>
      </c>
      <c r="J63" s="51">
        <v>60100000</v>
      </c>
      <c r="K63" s="48" t="str">
        <f>'[1]გეგმა 2024'!C64</f>
        <v xml:space="preserve"> საავტომობილო ტრანსპორტის მომსახურებები</v>
      </c>
      <c r="L63" s="54" t="s">
        <v>166</v>
      </c>
      <c r="M63" s="53" t="s">
        <v>205</v>
      </c>
    </row>
    <row r="64" spans="1:13" ht="28.5" customHeight="1">
      <c r="A64" s="46">
        <v>57</v>
      </c>
      <c r="B64" s="47" t="s">
        <v>206</v>
      </c>
      <c r="C64" s="47" t="s">
        <v>207</v>
      </c>
      <c r="D64" s="48">
        <v>7500</v>
      </c>
      <c r="E64" s="48">
        <f>7500</f>
        <v>7500</v>
      </c>
      <c r="F64" s="48">
        <f t="shared" si="0"/>
        <v>0</v>
      </c>
      <c r="G64" s="49" t="s">
        <v>204</v>
      </c>
      <c r="H64" s="50" t="s">
        <v>147</v>
      </c>
      <c r="I64" s="47" t="s">
        <v>31</v>
      </c>
      <c r="J64" s="51">
        <v>55100000</v>
      </c>
      <c r="K64" s="48" t="str">
        <f>'[1]გეგმა 2024'!C59</f>
        <v>სასტუმროს მომსახურება</v>
      </c>
      <c r="L64" s="54" t="s">
        <v>166</v>
      </c>
      <c r="M64" s="53" t="s">
        <v>208</v>
      </c>
    </row>
    <row r="65" spans="1:13" ht="27" customHeight="1">
      <c r="A65" s="46">
        <v>58</v>
      </c>
      <c r="B65" s="47" t="s">
        <v>206</v>
      </c>
      <c r="C65" s="47" t="s">
        <v>209</v>
      </c>
      <c r="D65" s="48">
        <f>5200</f>
        <v>5200</v>
      </c>
      <c r="E65" s="48">
        <f>5200</f>
        <v>5200</v>
      </c>
      <c r="F65" s="48">
        <f t="shared" si="0"/>
        <v>0</v>
      </c>
      <c r="G65" s="49" t="s">
        <v>204</v>
      </c>
      <c r="H65" s="50" t="s">
        <v>147</v>
      </c>
      <c r="I65" s="47" t="s">
        <v>31</v>
      </c>
      <c r="J65" s="51">
        <v>55300000</v>
      </c>
      <c r="K65" s="48" t="str">
        <f>'[1]გეგმა 2024'!C62</f>
        <v xml:space="preserve">რესტორნებისა და კვების საწარმოების მომსახურეობები </v>
      </c>
      <c r="L65" s="54" t="s">
        <v>166</v>
      </c>
      <c r="M65" s="53" t="s">
        <v>210</v>
      </c>
    </row>
    <row r="66" spans="1:13" ht="47.25" customHeight="1">
      <c r="A66" s="46">
        <v>59</v>
      </c>
      <c r="B66" s="47" t="s">
        <v>211</v>
      </c>
      <c r="C66" s="47" t="s">
        <v>209</v>
      </c>
      <c r="D66" s="48">
        <f>1152.48</f>
        <v>1152.48</v>
      </c>
      <c r="E66" s="48">
        <f>1152.48</f>
        <v>1152.48</v>
      </c>
      <c r="F66" s="48">
        <f t="shared" si="0"/>
        <v>0</v>
      </c>
      <c r="G66" s="49" t="s">
        <v>204</v>
      </c>
      <c r="H66" s="50" t="s">
        <v>147</v>
      </c>
      <c r="I66" s="47" t="s">
        <v>31</v>
      </c>
      <c r="J66" s="51">
        <v>55300000</v>
      </c>
      <c r="K66" s="48" t="str">
        <f>'[1]გეგმა 2024'!C62</f>
        <v xml:space="preserve">რესტორნებისა და კვების საწარმოების მომსახურეობები </v>
      </c>
      <c r="L66" s="54" t="s">
        <v>166</v>
      </c>
      <c r="M66" s="53" t="s">
        <v>212</v>
      </c>
    </row>
    <row r="67" spans="1:13" ht="42.75" customHeight="1">
      <c r="A67" s="46">
        <v>60</v>
      </c>
      <c r="B67" s="47" t="s">
        <v>200</v>
      </c>
      <c r="C67" s="47" t="s">
        <v>165</v>
      </c>
      <c r="D67" s="48">
        <v>6726</v>
      </c>
      <c r="E67" s="48">
        <f>6726</f>
        <v>6726</v>
      </c>
      <c r="F67" s="48">
        <f t="shared" ref="F67:F128" si="1">D67-E67</f>
        <v>0</v>
      </c>
      <c r="G67" s="49" t="s">
        <v>204</v>
      </c>
      <c r="H67" s="50" t="s">
        <v>147</v>
      </c>
      <c r="I67" s="47" t="s">
        <v>31</v>
      </c>
      <c r="J67" s="51">
        <v>60400000</v>
      </c>
      <c r="K67" s="48" t="str">
        <f>'[1]გეგმა 2024'!C65</f>
        <v>საჰაერო ტრანსპორტის მომსახურებები</v>
      </c>
      <c r="L67" s="54" t="s">
        <v>166</v>
      </c>
      <c r="M67" s="53" t="s">
        <v>213</v>
      </c>
    </row>
    <row r="68" spans="1:13" ht="39.75" customHeight="1">
      <c r="A68" s="21">
        <v>61</v>
      </c>
      <c r="B68" s="61" t="s">
        <v>214</v>
      </c>
      <c r="C68" s="2" t="s">
        <v>215</v>
      </c>
      <c r="D68" s="22">
        <v>1300</v>
      </c>
      <c r="E68" s="22">
        <f>345+75+75</f>
        <v>495</v>
      </c>
      <c r="F68" s="22">
        <f t="shared" si="1"/>
        <v>805</v>
      </c>
      <c r="G68" s="44" t="s">
        <v>204</v>
      </c>
      <c r="H68" s="45" t="s">
        <v>147</v>
      </c>
      <c r="I68" s="2" t="s">
        <v>31</v>
      </c>
      <c r="J68" s="23">
        <v>92500000</v>
      </c>
      <c r="K68" s="22" t="str">
        <f>'[1]გეგმა 2024'!C114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68" s="26" t="s">
        <v>166</v>
      </c>
      <c r="M68" s="24" t="s">
        <v>216</v>
      </c>
    </row>
    <row r="69" spans="1:13" ht="45" customHeight="1">
      <c r="A69" s="46">
        <v>62</v>
      </c>
      <c r="B69" s="47" t="s">
        <v>217</v>
      </c>
      <c r="C69" s="47" t="s">
        <v>207</v>
      </c>
      <c r="D69" s="48">
        <f>67024</f>
        <v>67024</v>
      </c>
      <c r="E69" s="48">
        <f>67024</f>
        <v>67024</v>
      </c>
      <c r="F69" s="48">
        <f t="shared" si="1"/>
        <v>0</v>
      </c>
      <c r="G69" s="49" t="s">
        <v>204</v>
      </c>
      <c r="H69" s="50" t="s">
        <v>147</v>
      </c>
      <c r="I69" s="47" t="s">
        <v>31</v>
      </c>
      <c r="J69" s="51">
        <v>55300000</v>
      </c>
      <c r="K69" s="48" t="str">
        <f>'[1]გეგმა 2024'!C62</f>
        <v xml:space="preserve">რესტორნებისა და კვების საწარმოების მომსახურეობები </v>
      </c>
      <c r="L69" s="54" t="s">
        <v>166</v>
      </c>
      <c r="M69" s="53" t="s">
        <v>218</v>
      </c>
    </row>
    <row r="70" spans="1:13" ht="24" customHeight="1">
      <c r="A70" s="46">
        <v>63</v>
      </c>
      <c r="B70" s="47" t="s">
        <v>164</v>
      </c>
      <c r="C70" s="47" t="s">
        <v>165</v>
      </c>
      <c r="D70" s="48">
        <v>4725</v>
      </c>
      <c r="E70" s="48">
        <f>4725</f>
        <v>4725</v>
      </c>
      <c r="F70" s="48">
        <f t="shared" si="1"/>
        <v>0</v>
      </c>
      <c r="G70" s="49" t="s">
        <v>204</v>
      </c>
      <c r="H70" s="50" t="s">
        <v>147</v>
      </c>
      <c r="I70" s="47" t="s">
        <v>31</v>
      </c>
      <c r="J70" s="51">
        <v>60400000</v>
      </c>
      <c r="K70" s="48" t="str">
        <f>'[1]გეგმა 2024'!C65</f>
        <v>საჰაერო ტრანსპორტის მომსახურებები</v>
      </c>
      <c r="L70" s="54" t="s">
        <v>166</v>
      </c>
      <c r="M70" s="53" t="s">
        <v>219</v>
      </c>
    </row>
    <row r="71" spans="1:13" ht="34.5" customHeight="1">
      <c r="A71" s="46">
        <v>64</v>
      </c>
      <c r="B71" s="47" t="s">
        <v>220</v>
      </c>
      <c r="C71" s="47" t="s">
        <v>188</v>
      </c>
      <c r="D71" s="48">
        <v>22490</v>
      </c>
      <c r="E71" s="48">
        <v>22490</v>
      </c>
      <c r="F71" s="48">
        <f t="shared" si="1"/>
        <v>0</v>
      </c>
      <c r="G71" s="49" t="s">
        <v>204</v>
      </c>
      <c r="H71" s="50" t="s">
        <v>147</v>
      </c>
      <c r="I71" s="47" t="s">
        <v>31</v>
      </c>
      <c r="J71" s="51">
        <v>60100000</v>
      </c>
      <c r="K71" s="48" t="str">
        <f>'[1]გეგმა 2024'!C64</f>
        <v xml:space="preserve"> საავტომობილო ტრანსპორტის მომსახურებები</v>
      </c>
      <c r="L71" s="54" t="s">
        <v>166</v>
      </c>
      <c r="M71" s="60" t="s">
        <v>221</v>
      </c>
    </row>
    <row r="72" spans="1:13" ht="57" customHeight="1">
      <c r="A72" s="46">
        <v>65</v>
      </c>
      <c r="B72" s="62" t="s">
        <v>222</v>
      </c>
      <c r="C72" s="47" t="s">
        <v>223</v>
      </c>
      <c r="D72" s="48">
        <v>731238</v>
      </c>
      <c r="E72" s="48">
        <f>731238</f>
        <v>731238</v>
      </c>
      <c r="F72" s="48">
        <f t="shared" si="1"/>
        <v>0</v>
      </c>
      <c r="G72" s="49" t="s">
        <v>224</v>
      </c>
      <c r="H72" s="50" t="s">
        <v>147</v>
      </c>
      <c r="I72" s="47" t="s">
        <v>31</v>
      </c>
      <c r="J72" s="51">
        <v>79900000</v>
      </c>
      <c r="K72" s="48" t="str">
        <f>'[1]გეგმა 2024'!C100</f>
        <v xml:space="preserve"> სხვადასხვა კომერციული მომსახურება და მასთან დაკავშირებული მომსახურებები.</v>
      </c>
      <c r="L72" s="53" t="s">
        <v>108</v>
      </c>
      <c r="M72" s="53" t="s">
        <v>225</v>
      </c>
    </row>
    <row r="73" spans="1:13" ht="35.25" customHeight="1">
      <c r="A73" s="46">
        <v>66</v>
      </c>
      <c r="B73" s="47" t="s">
        <v>198</v>
      </c>
      <c r="C73" s="47" t="s">
        <v>165</v>
      </c>
      <c r="D73" s="48">
        <v>3752.8</v>
      </c>
      <c r="E73" s="48">
        <f>3752.8</f>
        <v>3752.8</v>
      </c>
      <c r="F73" s="48">
        <f t="shared" si="1"/>
        <v>0</v>
      </c>
      <c r="G73" s="49" t="s">
        <v>224</v>
      </c>
      <c r="H73" s="50" t="s">
        <v>147</v>
      </c>
      <c r="I73" s="47" t="s">
        <v>31</v>
      </c>
      <c r="J73" s="51">
        <v>60400000</v>
      </c>
      <c r="K73" s="48" t="str">
        <f>'[1]გეგმა 2024'!C65</f>
        <v>საჰაერო ტრანსპორტის მომსახურებები</v>
      </c>
      <c r="L73" s="53" t="s">
        <v>166</v>
      </c>
      <c r="M73" s="53" t="s">
        <v>226</v>
      </c>
    </row>
    <row r="74" spans="1:13" ht="45.75" customHeight="1">
      <c r="A74" s="46">
        <v>67</v>
      </c>
      <c r="B74" s="47" t="s">
        <v>200</v>
      </c>
      <c r="C74" s="47" t="s">
        <v>165</v>
      </c>
      <c r="D74" s="48">
        <v>1439</v>
      </c>
      <c r="E74" s="48">
        <f>1439</f>
        <v>1439</v>
      </c>
      <c r="F74" s="48">
        <f t="shared" si="1"/>
        <v>0</v>
      </c>
      <c r="G74" s="49" t="s">
        <v>227</v>
      </c>
      <c r="H74" s="50" t="s">
        <v>147</v>
      </c>
      <c r="I74" s="47" t="s">
        <v>31</v>
      </c>
      <c r="J74" s="51">
        <v>60400000</v>
      </c>
      <c r="K74" s="48" t="str">
        <f>'[1]გეგმა 2024'!C65</f>
        <v>საჰაერო ტრანსპორტის მომსახურებები</v>
      </c>
      <c r="L74" s="53" t="s">
        <v>166</v>
      </c>
      <c r="M74" s="53" t="s">
        <v>228</v>
      </c>
    </row>
    <row r="75" spans="1:13" ht="53.25" customHeight="1">
      <c r="A75" s="21">
        <v>68</v>
      </c>
      <c r="B75" s="2" t="s">
        <v>229</v>
      </c>
      <c r="C75" s="2" t="s">
        <v>230</v>
      </c>
      <c r="D75" s="22">
        <v>2000</v>
      </c>
      <c r="E75" s="22"/>
      <c r="F75" s="22">
        <f t="shared" si="1"/>
        <v>2000</v>
      </c>
      <c r="G75" s="44" t="s">
        <v>227</v>
      </c>
      <c r="H75" s="45" t="s">
        <v>147</v>
      </c>
      <c r="I75" s="2" t="s">
        <v>31</v>
      </c>
      <c r="J75" s="23">
        <v>92500000</v>
      </c>
      <c r="K75" s="22" t="str">
        <f>'[1]გეგმა 2024'!C114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75" s="24" t="s">
        <v>166</v>
      </c>
      <c r="M75" s="24" t="s">
        <v>231</v>
      </c>
    </row>
    <row r="76" spans="1:13" ht="69.75" customHeight="1">
      <c r="A76" s="46">
        <v>69</v>
      </c>
      <c r="B76" s="47" t="s">
        <v>232</v>
      </c>
      <c r="C76" s="47" t="s">
        <v>233</v>
      </c>
      <c r="D76" s="48">
        <v>77388.2</v>
      </c>
      <c r="E76" s="48">
        <v>77388.2</v>
      </c>
      <c r="F76" s="48">
        <f t="shared" si="1"/>
        <v>0</v>
      </c>
      <c r="G76" s="49" t="s">
        <v>227</v>
      </c>
      <c r="H76" s="50" t="s">
        <v>147</v>
      </c>
      <c r="I76" s="47" t="s">
        <v>31</v>
      </c>
      <c r="J76" s="51">
        <v>39100000</v>
      </c>
      <c r="K76" s="48" t="str">
        <f>'[1]გეგმა 2024'!C36</f>
        <v>ავეჯი (სტენდები)</v>
      </c>
      <c r="L76" s="52" t="s">
        <v>108</v>
      </c>
      <c r="M76" s="63" t="s">
        <v>234</v>
      </c>
    </row>
    <row r="77" spans="1:13" ht="50.25" customHeight="1">
      <c r="A77" s="46">
        <v>69</v>
      </c>
      <c r="B77" s="47" t="s">
        <v>232</v>
      </c>
      <c r="C77" s="47" t="s">
        <v>233</v>
      </c>
      <c r="D77" s="48">
        <f>31205.61</f>
        <v>31205.61</v>
      </c>
      <c r="E77" s="48">
        <f>31205.61</f>
        <v>31205.61</v>
      </c>
      <c r="F77" s="48">
        <f t="shared" si="1"/>
        <v>0</v>
      </c>
      <c r="G77" s="49" t="s">
        <v>227</v>
      </c>
      <c r="H77" s="50" t="s">
        <v>147</v>
      </c>
      <c r="I77" s="47" t="s">
        <v>31</v>
      </c>
      <c r="J77" s="51">
        <v>39100000</v>
      </c>
      <c r="K77" s="48" t="str">
        <f>'[1]გეგმა 2024 (საკ. შ.)'!C7</f>
        <v>სტენდები (საკ.შ.)</v>
      </c>
      <c r="L77" s="52" t="s">
        <v>108</v>
      </c>
      <c r="M77" s="63" t="s">
        <v>234</v>
      </c>
    </row>
    <row r="78" spans="1:13" ht="48" customHeight="1">
      <c r="A78" s="46">
        <v>70</v>
      </c>
      <c r="B78" s="47" t="s">
        <v>164</v>
      </c>
      <c r="C78" s="47" t="s">
        <v>165</v>
      </c>
      <c r="D78" s="48">
        <v>5096</v>
      </c>
      <c r="E78" s="48">
        <f>5096</f>
        <v>5096</v>
      </c>
      <c r="F78" s="48">
        <f t="shared" si="1"/>
        <v>0</v>
      </c>
      <c r="G78" s="49" t="s">
        <v>227</v>
      </c>
      <c r="H78" s="50" t="s">
        <v>147</v>
      </c>
      <c r="I78" s="47" t="s">
        <v>31</v>
      </c>
      <c r="J78" s="51">
        <v>60400000</v>
      </c>
      <c r="K78" s="48" t="str">
        <f>'[1]გეგმა 2024'!C65</f>
        <v>საჰაერო ტრანსპორტის მომსახურებები</v>
      </c>
      <c r="L78" s="53" t="s">
        <v>166</v>
      </c>
      <c r="M78" s="53" t="s">
        <v>235</v>
      </c>
    </row>
    <row r="79" spans="1:13" ht="48" customHeight="1">
      <c r="A79" s="21">
        <v>71</v>
      </c>
      <c r="B79" s="2" t="s">
        <v>236</v>
      </c>
      <c r="C79" s="64" t="s">
        <v>237</v>
      </c>
      <c r="D79" s="22">
        <v>1000</v>
      </c>
      <c r="E79" s="22">
        <f>185+350+325</f>
        <v>860</v>
      </c>
      <c r="F79" s="22">
        <f t="shared" si="1"/>
        <v>140</v>
      </c>
      <c r="G79" s="44" t="s">
        <v>227</v>
      </c>
      <c r="H79" s="45" t="s">
        <v>147</v>
      </c>
      <c r="I79" s="2" t="s">
        <v>31</v>
      </c>
      <c r="J79" s="23">
        <v>92500000</v>
      </c>
      <c r="K79" s="22" t="str">
        <f>'[1]გეგმა 2024'!C114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79" s="24" t="s">
        <v>166</v>
      </c>
      <c r="M79" s="24" t="s">
        <v>238</v>
      </c>
    </row>
    <row r="80" spans="1:13" ht="60.75" customHeight="1">
      <c r="A80" s="46">
        <v>72</v>
      </c>
      <c r="B80" s="47" t="s">
        <v>239</v>
      </c>
      <c r="C80" s="47" t="s">
        <v>240</v>
      </c>
      <c r="D80" s="48">
        <v>1300</v>
      </c>
      <c r="E80" s="48">
        <f>1300</f>
        <v>1300</v>
      </c>
      <c r="F80" s="48">
        <f t="shared" si="1"/>
        <v>0</v>
      </c>
      <c r="G80" s="49" t="s">
        <v>241</v>
      </c>
      <c r="H80" s="50" t="s">
        <v>147</v>
      </c>
      <c r="I80" s="47" t="s">
        <v>31</v>
      </c>
      <c r="J80" s="51">
        <v>63500000</v>
      </c>
      <c r="K80" s="48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80" s="53" t="s">
        <v>166</v>
      </c>
      <c r="M80" s="53" t="s">
        <v>242</v>
      </c>
    </row>
    <row r="81" spans="1:13" ht="157.5">
      <c r="A81" s="46">
        <v>73</v>
      </c>
      <c r="B81" s="65" t="s">
        <v>243</v>
      </c>
      <c r="C81" s="47" t="s">
        <v>240</v>
      </c>
      <c r="D81" s="48">
        <v>1500</v>
      </c>
      <c r="E81" s="48">
        <f>1500</f>
        <v>1500</v>
      </c>
      <c r="F81" s="48">
        <f t="shared" si="1"/>
        <v>0</v>
      </c>
      <c r="G81" s="49" t="s">
        <v>241</v>
      </c>
      <c r="H81" s="50" t="s">
        <v>147</v>
      </c>
      <c r="I81" s="47" t="s">
        <v>31</v>
      </c>
      <c r="J81" s="51">
        <v>63500000</v>
      </c>
      <c r="K81" s="48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81" s="53" t="s">
        <v>166</v>
      </c>
      <c r="M81" s="60" t="s">
        <v>244</v>
      </c>
    </row>
    <row r="82" spans="1:13" ht="157.5">
      <c r="A82" s="46">
        <v>74</v>
      </c>
      <c r="B82" s="47" t="s">
        <v>245</v>
      </c>
      <c r="C82" s="47" t="s">
        <v>230</v>
      </c>
      <c r="D82" s="48">
        <v>1425</v>
      </c>
      <c r="E82" s="48">
        <f>1425</f>
        <v>1425</v>
      </c>
      <c r="F82" s="48">
        <f t="shared" si="1"/>
        <v>0</v>
      </c>
      <c r="G82" s="49" t="s">
        <v>241</v>
      </c>
      <c r="H82" s="50" t="s">
        <v>147</v>
      </c>
      <c r="I82" s="47" t="s">
        <v>31</v>
      </c>
      <c r="J82" s="51">
        <v>92500000</v>
      </c>
      <c r="K82" s="48" t="str">
        <f>'[1]გეგმა 2024'!C114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82" s="53" t="s">
        <v>166</v>
      </c>
      <c r="M82" s="53" t="s">
        <v>246</v>
      </c>
    </row>
    <row r="83" spans="1:13" ht="157.5">
      <c r="A83" s="46">
        <v>75</v>
      </c>
      <c r="B83" s="47" t="s">
        <v>247</v>
      </c>
      <c r="C83" s="47" t="s">
        <v>248</v>
      </c>
      <c r="D83" s="48">
        <v>2850</v>
      </c>
      <c r="E83" s="48">
        <f>2850</f>
        <v>2850</v>
      </c>
      <c r="F83" s="48">
        <f t="shared" si="1"/>
        <v>0</v>
      </c>
      <c r="G83" s="49" t="s">
        <v>241</v>
      </c>
      <c r="H83" s="50" t="s">
        <v>147</v>
      </c>
      <c r="I83" s="47" t="s">
        <v>31</v>
      </c>
      <c r="J83" s="51">
        <v>55400000</v>
      </c>
      <c r="K83" s="48" t="str">
        <f>'[1]გეგმა 2024'!C63</f>
        <v>სასმელების მიტანის მომსახურება</v>
      </c>
      <c r="L83" s="54" t="s">
        <v>166</v>
      </c>
      <c r="M83" s="60" t="s">
        <v>249</v>
      </c>
    </row>
    <row r="84" spans="1:13" ht="157.5">
      <c r="A84" s="46">
        <v>76</v>
      </c>
      <c r="B84" s="47" t="s">
        <v>250</v>
      </c>
      <c r="C84" s="47" t="s">
        <v>248</v>
      </c>
      <c r="D84" s="48">
        <v>675</v>
      </c>
      <c r="E84" s="48">
        <f>675</f>
        <v>675</v>
      </c>
      <c r="F84" s="48">
        <f t="shared" si="1"/>
        <v>0</v>
      </c>
      <c r="G84" s="49" t="s">
        <v>241</v>
      </c>
      <c r="H84" s="50" t="s">
        <v>147</v>
      </c>
      <c r="I84" s="47" t="s">
        <v>31</v>
      </c>
      <c r="J84" s="51">
        <v>55400000</v>
      </c>
      <c r="K84" s="48" t="str">
        <f>'[1]გეგმა 2024'!C63</f>
        <v>სასმელების მიტანის მომსახურება</v>
      </c>
      <c r="L84" s="54" t="s">
        <v>166</v>
      </c>
      <c r="M84" s="53" t="s">
        <v>251</v>
      </c>
    </row>
    <row r="85" spans="1:13" ht="157.5">
      <c r="A85" s="46">
        <v>77</v>
      </c>
      <c r="B85" s="53" t="s">
        <v>250</v>
      </c>
      <c r="C85" s="47" t="s">
        <v>209</v>
      </c>
      <c r="D85" s="48">
        <f>1062</f>
        <v>1062</v>
      </c>
      <c r="E85" s="48">
        <f>1062</f>
        <v>1062</v>
      </c>
      <c r="F85" s="48">
        <f t="shared" si="1"/>
        <v>0</v>
      </c>
      <c r="G85" s="49" t="s">
        <v>241</v>
      </c>
      <c r="H85" s="50" t="s">
        <v>147</v>
      </c>
      <c r="I85" s="47" t="s">
        <v>31</v>
      </c>
      <c r="J85" s="51">
        <v>55300000</v>
      </c>
      <c r="K85" s="48" t="str">
        <f>'[1]გეგმა 2024'!C62</f>
        <v xml:space="preserve">რესტორნებისა და კვების საწარმოების მომსახურეობები </v>
      </c>
      <c r="L85" s="54" t="s">
        <v>166</v>
      </c>
      <c r="M85" s="53" t="s">
        <v>252</v>
      </c>
    </row>
    <row r="86" spans="1:13" ht="157.5">
      <c r="A86" s="46">
        <v>78</v>
      </c>
      <c r="B86" s="47" t="s">
        <v>253</v>
      </c>
      <c r="C86" s="47" t="s">
        <v>240</v>
      </c>
      <c r="D86" s="48">
        <v>1150</v>
      </c>
      <c r="E86" s="48">
        <f>1150</f>
        <v>1150</v>
      </c>
      <c r="F86" s="48">
        <f t="shared" si="1"/>
        <v>0</v>
      </c>
      <c r="G86" s="49" t="s">
        <v>241</v>
      </c>
      <c r="H86" s="50" t="s">
        <v>147</v>
      </c>
      <c r="I86" s="47" t="s">
        <v>31</v>
      </c>
      <c r="J86" s="51">
        <v>63500000</v>
      </c>
      <c r="K86" s="48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86" s="54" t="s">
        <v>166</v>
      </c>
      <c r="M86" s="53" t="s">
        <v>254</v>
      </c>
    </row>
    <row r="87" spans="1:13" ht="157.5">
      <c r="A87" s="46">
        <v>79</v>
      </c>
      <c r="B87" s="47" t="s">
        <v>255</v>
      </c>
      <c r="C87" s="47" t="s">
        <v>209</v>
      </c>
      <c r="D87" s="48">
        <v>2100</v>
      </c>
      <c r="E87" s="48">
        <f>2100</f>
        <v>2100</v>
      </c>
      <c r="F87" s="48">
        <f t="shared" si="1"/>
        <v>0</v>
      </c>
      <c r="G87" s="49" t="s">
        <v>241</v>
      </c>
      <c r="H87" s="50" t="s">
        <v>147</v>
      </c>
      <c r="I87" s="47" t="s">
        <v>31</v>
      </c>
      <c r="J87" s="51">
        <v>55300000</v>
      </c>
      <c r="K87" s="48" t="str">
        <f>'[1]გეგმა 2024'!C62</f>
        <v xml:space="preserve">რესტორნებისა და კვების საწარმოების მომსახურეობები </v>
      </c>
      <c r="L87" s="54" t="s">
        <v>166</v>
      </c>
      <c r="M87" s="53" t="s">
        <v>256</v>
      </c>
    </row>
    <row r="88" spans="1:13" ht="157.5">
      <c r="A88" s="46">
        <v>80</v>
      </c>
      <c r="B88" s="47" t="s">
        <v>187</v>
      </c>
      <c r="C88" s="47" t="s">
        <v>240</v>
      </c>
      <c r="D88" s="48">
        <v>1350</v>
      </c>
      <c r="E88" s="48">
        <f>1350</f>
        <v>1350</v>
      </c>
      <c r="F88" s="48">
        <f t="shared" si="1"/>
        <v>0</v>
      </c>
      <c r="G88" s="49" t="s">
        <v>241</v>
      </c>
      <c r="H88" s="50" t="s">
        <v>147</v>
      </c>
      <c r="I88" s="47" t="s">
        <v>31</v>
      </c>
      <c r="J88" s="51">
        <v>63500000</v>
      </c>
      <c r="K88" s="48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88" s="54" t="s">
        <v>166</v>
      </c>
      <c r="M88" s="53" t="s">
        <v>257</v>
      </c>
    </row>
    <row r="89" spans="1:13" ht="157.5">
      <c r="A89" s="46">
        <v>81</v>
      </c>
      <c r="B89" s="47" t="s">
        <v>258</v>
      </c>
      <c r="C89" s="47" t="s">
        <v>240</v>
      </c>
      <c r="D89" s="48">
        <v>7850</v>
      </c>
      <c r="E89" s="48">
        <f>7850</f>
        <v>7850</v>
      </c>
      <c r="F89" s="48">
        <f t="shared" si="1"/>
        <v>0</v>
      </c>
      <c r="G89" s="49" t="s">
        <v>241</v>
      </c>
      <c r="H89" s="50" t="s">
        <v>147</v>
      </c>
      <c r="I89" s="47" t="s">
        <v>31</v>
      </c>
      <c r="J89" s="51">
        <v>63500000</v>
      </c>
      <c r="K89" s="48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89" s="54" t="s">
        <v>166</v>
      </c>
      <c r="M89" s="53" t="s">
        <v>259</v>
      </c>
    </row>
    <row r="90" spans="1:13" ht="157.5">
      <c r="A90" s="46">
        <v>82</v>
      </c>
      <c r="B90" s="47" t="s">
        <v>260</v>
      </c>
      <c r="C90" s="47" t="s">
        <v>207</v>
      </c>
      <c r="D90" s="48">
        <v>12213</v>
      </c>
      <c r="E90" s="48">
        <f>12213</f>
        <v>12213</v>
      </c>
      <c r="F90" s="48">
        <f t="shared" si="1"/>
        <v>0</v>
      </c>
      <c r="G90" s="49" t="s">
        <v>241</v>
      </c>
      <c r="H90" s="50" t="s">
        <v>147</v>
      </c>
      <c r="I90" s="47" t="s">
        <v>31</v>
      </c>
      <c r="J90" s="51">
        <v>55100000</v>
      </c>
      <c r="K90" s="48" t="str">
        <f>'[1]გეგმა 2024'!C59</f>
        <v>სასტუმროს მომსახურება</v>
      </c>
      <c r="L90" s="54" t="s">
        <v>166</v>
      </c>
      <c r="M90" s="53" t="s">
        <v>261</v>
      </c>
    </row>
    <row r="91" spans="1:13" ht="157.5">
      <c r="A91" s="46">
        <v>83</v>
      </c>
      <c r="B91" s="47" t="s">
        <v>262</v>
      </c>
      <c r="C91" s="47" t="s">
        <v>240</v>
      </c>
      <c r="D91" s="48">
        <v>800</v>
      </c>
      <c r="E91" s="48">
        <f>800</f>
        <v>800</v>
      </c>
      <c r="F91" s="48">
        <f t="shared" si="1"/>
        <v>0</v>
      </c>
      <c r="G91" s="49" t="s">
        <v>241</v>
      </c>
      <c r="H91" s="50" t="s">
        <v>147</v>
      </c>
      <c r="I91" s="47" t="s">
        <v>31</v>
      </c>
      <c r="J91" s="51">
        <v>63500000</v>
      </c>
      <c r="K91" s="48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91" s="54" t="s">
        <v>166</v>
      </c>
      <c r="M91" s="53" t="s">
        <v>263</v>
      </c>
    </row>
    <row r="92" spans="1:13" ht="62.25" customHeight="1">
      <c r="A92" s="21">
        <v>84</v>
      </c>
      <c r="B92" s="2" t="s">
        <v>103</v>
      </c>
      <c r="C92" s="2" t="s">
        <v>264</v>
      </c>
      <c r="D92" s="22">
        <v>15000</v>
      </c>
      <c r="E92" s="22">
        <f>2800+3600+4600+1800</f>
        <v>12800</v>
      </c>
      <c r="F92" s="22">
        <f t="shared" si="1"/>
        <v>2200</v>
      </c>
      <c r="G92" s="44" t="s">
        <v>241</v>
      </c>
      <c r="H92" s="45" t="s">
        <v>147</v>
      </c>
      <c r="I92" s="2" t="s">
        <v>31</v>
      </c>
      <c r="J92" s="23">
        <v>63100000</v>
      </c>
      <c r="K92" s="22" t="str">
        <f>'[1]გეგმა 2024'!C66</f>
        <v>ტვირთის გადაზიდვისა და შენახვის მომსახურებები.</v>
      </c>
      <c r="L92" s="26" t="s">
        <v>108</v>
      </c>
      <c r="M92" s="34" t="s">
        <v>265</v>
      </c>
    </row>
    <row r="93" spans="1:13" ht="96" customHeight="1">
      <c r="A93" s="46">
        <v>85</v>
      </c>
      <c r="B93" s="47" t="s">
        <v>266</v>
      </c>
      <c r="C93" s="47" t="s">
        <v>267</v>
      </c>
      <c r="D93" s="48">
        <v>1450</v>
      </c>
      <c r="E93" s="48">
        <f>1450</f>
        <v>1450</v>
      </c>
      <c r="F93" s="48">
        <f t="shared" si="1"/>
        <v>0</v>
      </c>
      <c r="G93" s="49" t="s">
        <v>268</v>
      </c>
      <c r="H93" s="50" t="s">
        <v>147</v>
      </c>
      <c r="I93" s="47" t="s">
        <v>31</v>
      </c>
      <c r="J93" s="51">
        <v>98300000</v>
      </c>
      <c r="K93" s="48" t="str">
        <f>'[1]გეგმა 2024'!C116</f>
        <v>სხვადასხვა მომსახურება.</v>
      </c>
      <c r="L93" s="54" t="s">
        <v>269</v>
      </c>
      <c r="M93" s="53" t="s">
        <v>270</v>
      </c>
    </row>
    <row r="94" spans="1:13" ht="39" customHeight="1">
      <c r="A94" s="46">
        <v>86</v>
      </c>
      <c r="B94" s="47" t="s">
        <v>271</v>
      </c>
      <c r="C94" s="47" t="s">
        <v>209</v>
      </c>
      <c r="D94" s="48">
        <f>2899.8</f>
        <v>2899.8</v>
      </c>
      <c r="E94" s="48">
        <f>2899.8</f>
        <v>2899.8</v>
      </c>
      <c r="F94" s="48">
        <f t="shared" si="1"/>
        <v>0</v>
      </c>
      <c r="G94" s="49" t="s">
        <v>268</v>
      </c>
      <c r="H94" s="50" t="s">
        <v>147</v>
      </c>
      <c r="I94" s="47" t="s">
        <v>31</v>
      </c>
      <c r="J94" s="51">
        <v>55300000</v>
      </c>
      <c r="K94" s="48" t="str">
        <f>'[1]გეგმა 2024'!C62</f>
        <v xml:space="preserve">რესტორნებისა და კვების საწარმოების მომსახურეობები </v>
      </c>
      <c r="L94" s="54" t="s">
        <v>269</v>
      </c>
      <c r="M94" s="66" t="s">
        <v>272</v>
      </c>
    </row>
    <row r="95" spans="1:13" ht="72" customHeight="1">
      <c r="A95" s="46">
        <v>87</v>
      </c>
      <c r="B95" s="47" t="s">
        <v>271</v>
      </c>
      <c r="C95" s="47" t="s">
        <v>273</v>
      </c>
      <c r="D95" s="48">
        <v>1450</v>
      </c>
      <c r="E95" s="48">
        <f>1450</f>
        <v>1450</v>
      </c>
      <c r="F95" s="48">
        <f t="shared" si="1"/>
        <v>0</v>
      </c>
      <c r="G95" s="49" t="s">
        <v>268</v>
      </c>
      <c r="H95" s="50" t="s">
        <v>147</v>
      </c>
      <c r="I95" s="47" t="s">
        <v>31</v>
      </c>
      <c r="J95" s="51">
        <v>55400000</v>
      </c>
      <c r="K95" s="48" t="str">
        <f>'[1]გეგმა 2024'!C63</f>
        <v>სასმელების მიტანის მომსახურება</v>
      </c>
      <c r="L95" s="54" t="s">
        <v>269</v>
      </c>
      <c r="M95" s="53" t="s">
        <v>274</v>
      </c>
    </row>
    <row r="96" spans="1:13" ht="157.5">
      <c r="A96" s="46">
        <v>88</v>
      </c>
      <c r="B96" s="47" t="s">
        <v>275</v>
      </c>
      <c r="C96" s="47" t="s">
        <v>209</v>
      </c>
      <c r="D96" s="48">
        <f>2944.1</f>
        <v>2944.1</v>
      </c>
      <c r="E96" s="48">
        <f>2944.1</f>
        <v>2944.1</v>
      </c>
      <c r="F96" s="48">
        <f t="shared" si="1"/>
        <v>0</v>
      </c>
      <c r="G96" s="49" t="s">
        <v>268</v>
      </c>
      <c r="H96" s="50" t="s">
        <v>147</v>
      </c>
      <c r="I96" s="47" t="s">
        <v>31</v>
      </c>
      <c r="J96" s="51">
        <v>55300000</v>
      </c>
      <c r="K96" s="48" t="str">
        <f>'[1]გეგმა 2024'!C62</f>
        <v xml:space="preserve">რესტორნებისა და კვების საწარმოების მომსახურეობები </v>
      </c>
      <c r="L96" s="54" t="s">
        <v>269</v>
      </c>
      <c r="M96" s="53" t="s">
        <v>276</v>
      </c>
    </row>
    <row r="97" spans="1:13" ht="157.5">
      <c r="A97" s="46">
        <v>89</v>
      </c>
      <c r="B97" s="47" t="s">
        <v>275</v>
      </c>
      <c r="C97" s="47" t="s">
        <v>273</v>
      </c>
      <c r="D97" s="48">
        <v>1416</v>
      </c>
      <c r="E97" s="48">
        <f>1416</f>
        <v>1416</v>
      </c>
      <c r="F97" s="48">
        <f t="shared" si="1"/>
        <v>0</v>
      </c>
      <c r="G97" s="49" t="s">
        <v>268</v>
      </c>
      <c r="H97" s="50" t="s">
        <v>147</v>
      </c>
      <c r="I97" s="47" t="s">
        <v>31</v>
      </c>
      <c r="J97" s="51">
        <v>55400000</v>
      </c>
      <c r="K97" s="48" t="str">
        <f>'[1]გეგმა 2024'!C63</f>
        <v>სასმელების მიტანის მომსახურება</v>
      </c>
      <c r="L97" s="54" t="s">
        <v>269</v>
      </c>
      <c r="M97" s="53" t="s">
        <v>277</v>
      </c>
    </row>
    <row r="98" spans="1:13" ht="157.5">
      <c r="A98" s="46">
        <v>90</v>
      </c>
      <c r="B98" s="47" t="s">
        <v>278</v>
      </c>
      <c r="C98" s="47" t="s">
        <v>240</v>
      </c>
      <c r="D98" s="48">
        <v>1100</v>
      </c>
      <c r="E98" s="48">
        <f>1100</f>
        <v>1100</v>
      </c>
      <c r="F98" s="48">
        <f t="shared" si="1"/>
        <v>0</v>
      </c>
      <c r="G98" s="49" t="s">
        <v>268</v>
      </c>
      <c r="H98" s="50" t="s">
        <v>147</v>
      </c>
      <c r="I98" s="47" t="s">
        <v>31</v>
      </c>
      <c r="J98" s="51">
        <v>55400000</v>
      </c>
      <c r="K98" s="48" t="str">
        <f>'[1]გეგმა 2024'!C63</f>
        <v>სასმელების მიტანის მომსახურება</v>
      </c>
      <c r="L98" s="54" t="s">
        <v>269</v>
      </c>
      <c r="M98" s="53" t="s">
        <v>279</v>
      </c>
    </row>
    <row r="99" spans="1:13" ht="157.5">
      <c r="A99" s="46">
        <v>91</v>
      </c>
      <c r="B99" s="47" t="s">
        <v>280</v>
      </c>
      <c r="C99" s="47" t="s">
        <v>230</v>
      </c>
      <c r="D99" s="48">
        <v>350</v>
      </c>
      <c r="E99" s="48">
        <f>350</f>
        <v>350</v>
      </c>
      <c r="F99" s="48">
        <f t="shared" si="1"/>
        <v>0</v>
      </c>
      <c r="G99" s="49" t="s">
        <v>268</v>
      </c>
      <c r="H99" s="50" t="s">
        <v>147</v>
      </c>
      <c r="I99" s="47" t="s">
        <v>31</v>
      </c>
      <c r="J99" s="51">
        <v>92500000</v>
      </c>
      <c r="K99" s="48" t="str">
        <f>'[1]გეგმა 2024'!C114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99" s="54" t="s">
        <v>269</v>
      </c>
      <c r="M99" s="53" t="s">
        <v>281</v>
      </c>
    </row>
    <row r="100" spans="1:13" ht="157.5">
      <c r="A100" s="46">
        <v>92</v>
      </c>
      <c r="B100" s="47" t="s">
        <v>282</v>
      </c>
      <c r="C100" s="47" t="s">
        <v>230</v>
      </c>
      <c r="D100" s="48">
        <v>180</v>
      </c>
      <c r="E100" s="48">
        <f>180</f>
        <v>180</v>
      </c>
      <c r="F100" s="48">
        <f t="shared" si="1"/>
        <v>0</v>
      </c>
      <c r="G100" s="49" t="s">
        <v>268</v>
      </c>
      <c r="H100" s="50" t="s">
        <v>147</v>
      </c>
      <c r="I100" s="47" t="s">
        <v>31</v>
      </c>
      <c r="J100" s="51">
        <v>92500000</v>
      </c>
      <c r="K100" s="48" t="str">
        <f>'[1]გეგმა 2024'!C114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100" s="54" t="s">
        <v>269</v>
      </c>
      <c r="M100" s="53" t="s">
        <v>283</v>
      </c>
    </row>
    <row r="101" spans="1:13" ht="157.5">
      <c r="A101" s="46">
        <v>93</v>
      </c>
      <c r="B101" s="47" t="s">
        <v>284</v>
      </c>
      <c r="C101" s="47" t="s">
        <v>188</v>
      </c>
      <c r="D101" s="48">
        <v>12130</v>
      </c>
      <c r="E101" s="48">
        <f>12130</f>
        <v>12130</v>
      </c>
      <c r="F101" s="48">
        <f t="shared" si="1"/>
        <v>0</v>
      </c>
      <c r="G101" s="49" t="s">
        <v>268</v>
      </c>
      <c r="H101" s="50" t="s">
        <v>147</v>
      </c>
      <c r="I101" s="47" t="s">
        <v>31</v>
      </c>
      <c r="J101" s="51">
        <v>60100000</v>
      </c>
      <c r="K101" s="48" t="str">
        <f>'[1]გეგმა 2024'!C64</f>
        <v xml:space="preserve"> საავტომობილო ტრანსპორტის მომსახურებები</v>
      </c>
      <c r="L101" s="54" t="s">
        <v>269</v>
      </c>
      <c r="M101" s="53" t="s">
        <v>285</v>
      </c>
    </row>
    <row r="102" spans="1:13" ht="157.5">
      <c r="A102" s="46">
        <v>94</v>
      </c>
      <c r="B102" s="47" t="s">
        <v>286</v>
      </c>
      <c r="C102" s="47" t="s">
        <v>209</v>
      </c>
      <c r="D102" s="48">
        <f>279.5</f>
        <v>279.5</v>
      </c>
      <c r="E102" s="48">
        <f>279.5</f>
        <v>279.5</v>
      </c>
      <c r="F102" s="48">
        <f t="shared" si="1"/>
        <v>0</v>
      </c>
      <c r="G102" s="49" t="s">
        <v>268</v>
      </c>
      <c r="H102" s="50" t="s">
        <v>147</v>
      </c>
      <c r="I102" s="47" t="s">
        <v>31</v>
      </c>
      <c r="J102" s="51">
        <v>55300000</v>
      </c>
      <c r="K102" s="48" t="str">
        <f>'[1]გეგმა 2024'!C62</f>
        <v xml:space="preserve">რესტორნებისა და კვების საწარმოების მომსახურეობები </v>
      </c>
      <c r="L102" s="54" t="s">
        <v>269</v>
      </c>
      <c r="M102" s="53" t="s">
        <v>287</v>
      </c>
    </row>
    <row r="103" spans="1:13" ht="157.5">
      <c r="A103" s="46">
        <v>95</v>
      </c>
      <c r="B103" s="47" t="s">
        <v>288</v>
      </c>
      <c r="C103" s="47" t="s">
        <v>209</v>
      </c>
      <c r="D103" s="48">
        <f>257.24</f>
        <v>257.24</v>
      </c>
      <c r="E103" s="48">
        <f>257.24</f>
        <v>257.24</v>
      </c>
      <c r="F103" s="48">
        <f t="shared" si="1"/>
        <v>0</v>
      </c>
      <c r="G103" s="49" t="s">
        <v>268</v>
      </c>
      <c r="H103" s="50" t="s">
        <v>147</v>
      </c>
      <c r="I103" s="47" t="s">
        <v>31</v>
      </c>
      <c r="J103" s="51">
        <v>55300000</v>
      </c>
      <c r="K103" s="48" t="str">
        <f>'[1]გეგმა 2024'!C62</f>
        <v xml:space="preserve">რესტორნებისა და კვების საწარმოების მომსახურეობები </v>
      </c>
      <c r="L103" s="54" t="s">
        <v>269</v>
      </c>
      <c r="M103" s="53" t="s">
        <v>289</v>
      </c>
    </row>
    <row r="104" spans="1:13" ht="157.5">
      <c r="A104" s="46">
        <v>96</v>
      </c>
      <c r="B104" s="47" t="s">
        <v>217</v>
      </c>
      <c r="C104" s="47" t="s">
        <v>290</v>
      </c>
      <c r="D104" s="48">
        <v>51978.53</v>
      </c>
      <c r="E104" s="48">
        <f>51978.53</f>
        <v>51978.53</v>
      </c>
      <c r="F104" s="48">
        <f t="shared" si="1"/>
        <v>0</v>
      </c>
      <c r="G104" s="49" t="s">
        <v>268</v>
      </c>
      <c r="H104" s="50" t="s">
        <v>147</v>
      </c>
      <c r="I104" s="47" t="s">
        <v>31</v>
      </c>
      <c r="J104" s="51">
        <v>55300000</v>
      </c>
      <c r="K104" s="48" t="str">
        <f>'[1]გეგმა 2024'!C62</f>
        <v xml:space="preserve">რესტორნებისა და კვების საწარმოების მომსახურეობები </v>
      </c>
      <c r="L104" s="54" t="s">
        <v>269</v>
      </c>
      <c r="M104" s="53" t="s">
        <v>291</v>
      </c>
    </row>
    <row r="105" spans="1:13" ht="157.5">
      <c r="A105" s="46">
        <v>98</v>
      </c>
      <c r="B105" s="47" t="s">
        <v>293</v>
      </c>
      <c r="C105" s="47" t="s">
        <v>188</v>
      </c>
      <c r="D105" s="48">
        <v>26599</v>
      </c>
      <c r="E105" s="48">
        <f>26599</f>
        <v>26599</v>
      </c>
      <c r="F105" s="48">
        <f t="shared" si="1"/>
        <v>0</v>
      </c>
      <c r="G105" s="49" t="s">
        <v>268</v>
      </c>
      <c r="H105" s="50" t="s">
        <v>147</v>
      </c>
      <c r="I105" s="47" t="s">
        <v>31</v>
      </c>
      <c r="J105" s="51">
        <v>60100000</v>
      </c>
      <c r="K105" s="48" t="str">
        <f>'[1]გეგმა 2024'!C64</f>
        <v xml:space="preserve"> საავტომობილო ტრანსპორტის მომსახურებები</v>
      </c>
      <c r="L105" s="54" t="s">
        <v>269</v>
      </c>
      <c r="M105" s="53" t="s">
        <v>294</v>
      </c>
    </row>
    <row r="106" spans="1:13" ht="157.5">
      <c r="A106" s="46">
        <v>99</v>
      </c>
      <c r="B106" s="47" t="s">
        <v>295</v>
      </c>
      <c r="C106" s="47" t="s">
        <v>209</v>
      </c>
      <c r="D106" s="48">
        <f>597</f>
        <v>597</v>
      </c>
      <c r="E106" s="48">
        <f>597</f>
        <v>597</v>
      </c>
      <c r="F106" s="48">
        <f t="shared" si="1"/>
        <v>0</v>
      </c>
      <c r="G106" s="49" t="s">
        <v>268</v>
      </c>
      <c r="H106" s="50" t="s">
        <v>147</v>
      </c>
      <c r="I106" s="47" t="s">
        <v>31</v>
      </c>
      <c r="J106" s="51">
        <v>55300000</v>
      </c>
      <c r="K106" s="48" t="str">
        <f>'[1]გეგმა 2024'!C62</f>
        <v xml:space="preserve">რესტორნებისა და კვების საწარმოების მომსახურეობები </v>
      </c>
      <c r="L106" s="54" t="s">
        <v>269</v>
      </c>
      <c r="M106" s="53" t="s">
        <v>296</v>
      </c>
    </row>
    <row r="107" spans="1:13" ht="157.5">
      <c r="A107" s="46">
        <v>100</v>
      </c>
      <c r="B107" s="47" t="s">
        <v>260</v>
      </c>
      <c r="C107" s="47" t="s">
        <v>209</v>
      </c>
      <c r="D107" s="48">
        <v>1869.12</v>
      </c>
      <c r="E107" s="48">
        <f>1869.12</f>
        <v>1869.12</v>
      </c>
      <c r="F107" s="48">
        <f t="shared" si="1"/>
        <v>0</v>
      </c>
      <c r="G107" s="49" t="s">
        <v>268</v>
      </c>
      <c r="H107" s="50" t="s">
        <v>147</v>
      </c>
      <c r="I107" s="47" t="s">
        <v>31</v>
      </c>
      <c r="J107" s="51">
        <v>55300000</v>
      </c>
      <c r="K107" s="48" t="str">
        <f>'[1]გეგმა 2024'!C62</f>
        <v xml:space="preserve">რესტორნებისა და კვების საწარმოების მომსახურეობები </v>
      </c>
      <c r="L107" s="54" t="s">
        <v>269</v>
      </c>
      <c r="M107" s="53" t="s">
        <v>297</v>
      </c>
    </row>
    <row r="108" spans="1:13" ht="157.5">
      <c r="A108" s="46">
        <v>101</v>
      </c>
      <c r="B108" s="47" t="s">
        <v>298</v>
      </c>
      <c r="C108" s="47" t="s">
        <v>207</v>
      </c>
      <c r="D108" s="48">
        <v>2660</v>
      </c>
      <c r="E108" s="48">
        <f>2660</f>
        <v>2660</v>
      </c>
      <c r="F108" s="48">
        <f t="shared" si="1"/>
        <v>0</v>
      </c>
      <c r="G108" s="49" t="s">
        <v>268</v>
      </c>
      <c r="H108" s="50" t="s">
        <v>147</v>
      </c>
      <c r="I108" s="47" t="s">
        <v>31</v>
      </c>
      <c r="J108" s="51">
        <v>55100000</v>
      </c>
      <c r="K108" s="48" t="str">
        <f>'[1]გეგმა 2024'!C59</f>
        <v>სასტუმროს მომსახურება</v>
      </c>
      <c r="L108" s="54" t="s">
        <v>269</v>
      </c>
      <c r="M108" s="53" t="s">
        <v>299</v>
      </c>
    </row>
    <row r="109" spans="1:13" ht="157.5">
      <c r="A109" s="46">
        <v>103</v>
      </c>
      <c r="B109" s="47" t="s">
        <v>302</v>
      </c>
      <c r="C109" s="47" t="s">
        <v>209</v>
      </c>
      <c r="D109" s="48">
        <f>414.18</f>
        <v>414.18</v>
      </c>
      <c r="E109" s="48">
        <f>414.18</f>
        <v>414.18</v>
      </c>
      <c r="F109" s="48">
        <f t="shared" si="1"/>
        <v>0</v>
      </c>
      <c r="G109" s="49" t="s">
        <v>301</v>
      </c>
      <c r="H109" s="50" t="s">
        <v>147</v>
      </c>
      <c r="I109" s="47" t="s">
        <v>31</v>
      </c>
      <c r="J109" s="51">
        <v>55300000</v>
      </c>
      <c r="K109" s="48" t="str">
        <f>'[1]გეგმა 2024'!C62</f>
        <v xml:space="preserve">რესტორნებისა და კვების საწარმოების მომსახურეობები </v>
      </c>
      <c r="L109" s="54" t="s">
        <v>269</v>
      </c>
      <c r="M109" s="53" t="s">
        <v>303</v>
      </c>
    </row>
    <row r="110" spans="1:13" ht="157.5">
      <c r="A110" s="46">
        <v>104</v>
      </c>
      <c r="B110" s="47" t="s">
        <v>187</v>
      </c>
      <c r="C110" s="47" t="s">
        <v>240</v>
      </c>
      <c r="D110" s="48">
        <v>2700</v>
      </c>
      <c r="E110" s="48">
        <f>2700</f>
        <v>2700</v>
      </c>
      <c r="F110" s="48">
        <f t="shared" si="1"/>
        <v>0</v>
      </c>
      <c r="G110" s="49" t="s">
        <v>301</v>
      </c>
      <c r="H110" s="50" t="s">
        <v>147</v>
      </c>
      <c r="I110" s="47" t="s">
        <v>31</v>
      </c>
      <c r="J110" s="51">
        <v>63500000</v>
      </c>
      <c r="K110" s="48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110" s="54" t="s">
        <v>269</v>
      </c>
      <c r="M110" s="53" t="s">
        <v>304</v>
      </c>
    </row>
    <row r="111" spans="1:13" ht="157.5">
      <c r="A111" s="46">
        <v>105</v>
      </c>
      <c r="B111" s="47" t="s">
        <v>187</v>
      </c>
      <c r="C111" s="47" t="s">
        <v>188</v>
      </c>
      <c r="D111" s="48">
        <v>18900</v>
      </c>
      <c r="E111" s="48">
        <f>18900</f>
        <v>18900</v>
      </c>
      <c r="F111" s="48">
        <f t="shared" si="1"/>
        <v>0</v>
      </c>
      <c r="G111" s="49" t="s">
        <v>301</v>
      </c>
      <c r="H111" s="50" t="s">
        <v>147</v>
      </c>
      <c r="I111" s="47" t="s">
        <v>31</v>
      </c>
      <c r="J111" s="51">
        <v>60100000</v>
      </c>
      <c r="K111" s="48" t="str">
        <f>'[1]გეგმა 2024'!C64</f>
        <v xml:space="preserve"> საავტომობილო ტრანსპორტის მომსახურებები</v>
      </c>
      <c r="L111" s="54" t="s">
        <v>269</v>
      </c>
      <c r="M111" s="53" t="s">
        <v>305</v>
      </c>
    </row>
    <row r="112" spans="1:13" ht="157.5">
      <c r="A112" s="46">
        <v>106</v>
      </c>
      <c r="B112" s="47" t="s">
        <v>306</v>
      </c>
      <c r="C112" s="47" t="s">
        <v>240</v>
      </c>
      <c r="D112" s="48">
        <v>4200</v>
      </c>
      <c r="E112" s="48">
        <f>4200</f>
        <v>4200</v>
      </c>
      <c r="F112" s="48">
        <f t="shared" si="1"/>
        <v>0</v>
      </c>
      <c r="G112" s="49" t="s">
        <v>301</v>
      </c>
      <c r="H112" s="50" t="s">
        <v>147</v>
      </c>
      <c r="I112" s="47" t="s">
        <v>31</v>
      </c>
      <c r="J112" s="51">
        <v>63500000</v>
      </c>
      <c r="K112" s="48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112" s="54" t="s">
        <v>269</v>
      </c>
      <c r="M112" s="53" t="s">
        <v>307</v>
      </c>
    </row>
    <row r="113" spans="1:13" ht="157.5">
      <c r="A113" s="46">
        <v>107</v>
      </c>
      <c r="B113" s="47" t="s">
        <v>308</v>
      </c>
      <c r="C113" s="47" t="s">
        <v>267</v>
      </c>
      <c r="D113" s="48">
        <v>1450</v>
      </c>
      <c r="E113" s="48">
        <f>1450</f>
        <v>1450</v>
      </c>
      <c r="F113" s="48">
        <f t="shared" si="1"/>
        <v>0</v>
      </c>
      <c r="G113" s="49" t="s">
        <v>301</v>
      </c>
      <c r="H113" s="50" t="s">
        <v>147</v>
      </c>
      <c r="I113" s="47" t="s">
        <v>31</v>
      </c>
      <c r="J113" s="51">
        <v>98300000</v>
      </c>
      <c r="K113" s="48" t="str">
        <f>'[1]გეგმა 2024'!C116</f>
        <v>სხვადასხვა მომსახურება.</v>
      </c>
      <c r="L113" s="54" t="s">
        <v>269</v>
      </c>
      <c r="M113" s="53" t="s">
        <v>309</v>
      </c>
    </row>
    <row r="114" spans="1:13" ht="157.5">
      <c r="A114" s="46">
        <v>108</v>
      </c>
      <c r="B114" s="47" t="s">
        <v>310</v>
      </c>
      <c r="C114" s="47" t="s">
        <v>230</v>
      </c>
      <c r="D114" s="48">
        <v>700</v>
      </c>
      <c r="E114" s="48">
        <f>700</f>
        <v>700</v>
      </c>
      <c r="F114" s="48">
        <f t="shared" si="1"/>
        <v>0</v>
      </c>
      <c r="G114" s="49" t="s">
        <v>301</v>
      </c>
      <c r="H114" s="50" t="s">
        <v>147</v>
      </c>
      <c r="I114" s="47" t="s">
        <v>31</v>
      </c>
      <c r="J114" s="51">
        <v>92500000</v>
      </c>
      <c r="K114" s="48" t="str">
        <f>'[1]გეგმა 2024'!C114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114" s="54" t="s">
        <v>269</v>
      </c>
      <c r="M114" s="53" t="s">
        <v>311</v>
      </c>
    </row>
    <row r="115" spans="1:13" ht="157.5">
      <c r="A115" s="46">
        <v>109</v>
      </c>
      <c r="B115" s="47" t="s">
        <v>312</v>
      </c>
      <c r="C115" s="47" t="s">
        <v>313</v>
      </c>
      <c r="D115" s="48">
        <v>2100</v>
      </c>
      <c r="E115" s="48">
        <f>2100</f>
        <v>2100</v>
      </c>
      <c r="F115" s="48">
        <f t="shared" si="1"/>
        <v>0</v>
      </c>
      <c r="G115" s="49" t="s">
        <v>301</v>
      </c>
      <c r="H115" s="50" t="s">
        <v>147</v>
      </c>
      <c r="I115" s="47" t="s">
        <v>31</v>
      </c>
      <c r="J115" s="51">
        <v>55300000</v>
      </c>
      <c r="K115" s="48" t="str">
        <f>'[1]გეგმა 2024'!C62</f>
        <v xml:space="preserve">რესტორნებისა და კვების საწარმოების მომსახურეობები </v>
      </c>
      <c r="L115" s="54" t="s">
        <v>269</v>
      </c>
      <c r="M115" s="53" t="s">
        <v>314</v>
      </c>
    </row>
    <row r="116" spans="1:13" ht="157.5">
      <c r="A116" s="46">
        <v>110</v>
      </c>
      <c r="B116" s="47" t="s">
        <v>312</v>
      </c>
      <c r="C116" s="47" t="s">
        <v>209</v>
      </c>
      <c r="D116" s="48">
        <f>2699.6</f>
        <v>2699.6</v>
      </c>
      <c r="E116" s="48">
        <f>2699.6</f>
        <v>2699.6</v>
      </c>
      <c r="F116" s="48">
        <f t="shared" si="1"/>
        <v>0</v>
      </c>
      <c r="G116" s="49" t="s">
        <v>301</v>
      </c>
      <c r="H116" s="50" t="s">
        <v>147</v>
      </c>
      <c r="I116" s="47" t="s">
        <v>31</v>
      </c>
      <c r="J116" s="51">
        <v>55300000</v>
      </c>
      <c r="K116" s="48" t="str">
        <f>'[1]გეგმა 2024'!C62</f>
        <v xml:space="preserve">რესტორნებისა და კვების საწარმოების მომსახურეობები </v>
      </c>
      <c r="L116" s="54" t="s">
        <v>269</v>
      </c>
      <c r="M116" s="53" t="s">
        <v>315</v>
      </c>
    </row>
    <row r="117" spans="1:13" ht="157.5">
      <c r="A117" s="46">
        <v>111</v>
      </c>
      <c r="B117" s="47" t="s">
        <v>316</v>
      </c>
      <c r="C117" s="47" t="s">
        <v>273</v>
      </c>
      <c r="D117" s="48">
        <v>1200</v>
      </c>
      <c r="E117" s="48">
        <f>1200</f>
        <v>1200</v>
      </c>
      <c r="F117" s="48">
        <f t="shared" si="1"/>
        <v>0</v>
      </c>
      <c r="G117" s="49" t="s">
        <v>301</v>
      </c>
      <c r="H117" s="50" t="s">
        <v>147</v>
      </c>
      <c r="I117" s="47" t="s">
        <v>31</v>
      </c>
      <c r="J117" s="51">
        <v>55400000</v>
      </c>
      <c r="K117" s="48" t="str">
        <f>'[1]გეგმა 2024'!C63</f>
        <v>სასმელების მიტანის მომსახურება</v>
      </c>
      <c r="L117" s="54" t="s">
        <v>269</v>
      </c>
      <c r="M117" s="53" t="s">
        <v>317</v>
      </c>
    </row>
    <row r="118" spans="1:13" ht="157.5">
      <c r="A118" s="46">
        <v>112</v>
      </c>
      <c r="B118" s="47" t="s">
        <v>318</v>
      </c>
      <c r="C118" s="47" t="s">
        <v>209</v>
      </c>
      <c r="D118" s="48">
        <f>7779.2</f>
        <v>7779.2</v>
      </c>
      <c r="E118" s="48">
        <f>7779.2</f>
        <v>7779.2</v>
      </c>
      <c r="F118" s="48">
        <f t="shared" si="1"/>
        <v>0</v>
      </c>
      <c r="G118" s="49" t="s">
        <v>301</v>
      </c>
      <c r="H118" s="50" t="s">
        <v>147</v>
      </c>
      <c r="I118" s="47" t="s">
        <v>31</v>
      </c>
      <c r="J118" s="51">
        <v>55300000</v>
      </c>
      <c r="K118" s="48" t="str">
        <f>'[1]გეგმა 2024'!C62</f>
        <v xml:space="preserve">რესტორნებისა და კვების საწარმოების მომსახურეობები </v>
      </c>
      <c r="L118" s="54" t="s">
        <v>269</v>
      </c>
      <c r="M118" s="53" t="s">
        <v>319</v>
      </c>
    </row>
    <row r="119" spans="1:13" ht="157.5">
      <c r="A119" s="46">
        <v>113</v>
      </c>
      <c r="B119" s="47" t="s">
        <v>320</v>
      </c>
      <c r="C119" s="47" t="s">
        <v>240</v>
      </c>
      <c r="D119" s="48">
        <v>500</v>
      </c>
      <c r="E119" s="48">
        <f>500</f>
        <v>500</v>
      </c>
      <c r="F119" s="48">
        <f t="shared" si="1"/>
        <v>0</v>
      </c>
      <c r="G119" s="49" t="s">
        <v>301</v>
      </c>
      <c r="H119" s="50" t="s">
        <v>147</v>
      </c>
      <c r="I119" s="47" t="s">
        <v>31</v>
      </c>
      <c r="J119" s="51">
        <v>63500000</v>
      </c>
      <c r="K119" s="48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119" s="54" t="s">
        <v>269</v>
      </c>
      <c r="M119" s="53" t="s">
        <v>321</v>
      </c>
    </row>
    <row r="120" spans="1:13" ht="157.5">
      <c r="A120" s="46">
        <v>114</v>
      </c>
      <c r="B120" s="47" t="s">
        <v>322</v>
      </c>
      <c r="C120" s="47" t="s">
        <v>230</v>
      </c>
      <c r="D120" s="48">
        <v>1000</v>
      </c>
      <c r="E120" s="48">
        <f>1000</f>
        <v>1000</v>
      </c>
      <c r="F120" s="48">
        <f t="shared" si="1"/>
        <v>0</v>
      </c>
      <c r="G120" s="49" t="s">
        <v>301</v>
      </c>
      <c r="H120" s="50" t="s">
        <v>147</v>
      </c>
      <c r="I120" s="47" t="s">
        <v>31</v>
      </c>
      <c r="J120" s="51">
        <v>92500000</v>
      </c>
      <c r="K120" s="48" t="str">
        <f>'[1]გეგმა 2024'!C114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120" s="54" t="s">
        <v>269</v>
      </c>
      <c r="M120" s="53" t="s">
        <v>323</v>
      </c>
    </row>
    <row r="121" spans="1:13" ht="157.5">
      <c r="A121" s="46">
        <v>115</v>
      </c>
      <c r="B121" s="47" t="s">
        <v>255</v>
      </c>
      <c r="C121" s="47" t="s">
        <v>209</v>
      </c>
      <c r="D121" s="48">
        <v>1000</v>
      </c>
      <c r="E121" s="48">
        <f>1000</f>
        <v>1000</v>
      </c>
      <c r="F121" s="48">
        <f t="shared" si="1"/>
        <v>0</v>
      </c>
      <c r="G121" s="49" t="s">
        <v>301</v>
      </c>
      <c r="H121" s="50" t="s">
        <v>147</v>
      </c>
      <c r="I121" s="47" t="s">
        <v>31</v>
      </c>
      <c r="J121" s="51">
        <v>55300000</v>
      </c>
      <c r="K121" s="48" t="str">
        <f>'[1]გეგმა 2024'!C62</f>
        <v xml:space="preserve">რესტორნებისა და კვების საწარმოების მომსახურეობები </v>
      </c>
      <c r="L121" s="54" t="s">
        <v>269</v>
      </c>
      <c r="M121" s="53" t="s">
        <v>324</v>
      </c>
    </row>
    <row r="122" spans="1:13" ht="157.5">
      <c r="A122" s="46">
        <v>116</v>
      </c>
      <c r="B122" s="47" t="s">
        <v>306</v>
      </c>
      <c r="C122" s="47" t="s">
        <v>188</v>
      </c>
      <c r="D122" s="48">
        <v>19200</v>
      </c>
      <c r="E122" s="48">
        <f>19200</f>
        <v>19200</v>
      </c>
      <c r="F122" s="48">
        <f t="shared" si="1"/>
        <v>0</v>
      </c>
      <c r="G122" s="49" t="s">
        <v>301</v>
      </c>
      <c r="H122" s="50" t="s">
        <v>147</v>
      </c>
      <c r="I122" s="47" t="s">
        <v>31</v>
      </c>
      <c r="J122" s="51">
        <v>60100000</v>
      </c>
      <c r="K122" s="48" t="str">
        <f>'[1]გეგმა 2024'!C64</f>
        <v xml:space="preserve"> საავტომობილო ტრანსპორტის მომსახურებები</v>
      </c>
      <c r="L122" s="54" t="s">
        <v>269</v>
      </c>
      <c r="M122" s="53" t="s">
        <v>325</v>
      </c>
    </row>
    <row r="123" spans="1:13" ht="157.5">
      <c r="A123" s="46">
        <v>117</v>
      </c>
      <c r="B123" s="47" t="s">
        <v>284</v>
      </c>
      <c r="C123" s="47" t="s">
        <v>188</v>
      </c>
      <c r="D123" s="48">
        <v>5575</v>
      </c>
      <c r="E123" s="48">
        <f>5575</f>
        <v>5575</v>
      </c>
      <c r="F123" s="48">
        <f t="shared" si="1"/>
        <v>0</v>
      </c>
      <c r="G123" s="49" t="s">
        <v>301</v>
      </c>
      <c r="H123" s="50" t="s">
        <v>147</v>
      </c>
      <c r="I123" s="47" t="s">
        <v>31</v>
      </c>
      <c r="J123" s="51">
        <v>60100000</v>
      </c>
      <c r="K123" s="48" t="str">
        <f>'[1]გეგმა 2024'!C64</f>
        <v xml:space="preserve"> საავტომობილო ტრანსპორტის მომსახურებები</v>
      </c>
      <c r="L123" s="54" t="s">
        <v>269</v>
      </c>
      <c r="M123" s="53" t="s">
        <v>326</v>
      </c>
    </row>
    <row r="124" spans="1:13" ht="157.5">
      <c r="A124" s="46">
        <v>118</v>
      </c>
      <c r="B124" s="47" t="s">
        <v>327</v>
      </c>
      <c r="C124" s="47" t="s">
        <v>207</v>
      </c>
      <c r="D124" s="48">
        <v>7600</v>
      </c>
      <c r="E124" s="48">
        <f>7600</f>
        <v>7600</v>
      </c>
      <c r="F124" s="48">
        <f t="shared" si="1"/>
        <v>0</v>
      </c>
      <c r="G124" s="49" t="s">
        <v>301</v>
      </c>
      <c r="H124" s="50" t="s">
        <v>147</v>
      </c>
      <c r="I124" s="47" t="s">
        <v>31</v>
      </c>
      <c r="J124" s="51">
        <v>55100000</v>
      </c>
      <c r="K124" s="48" t="str">
        <f>'[1]გეგმა 2024'!C59</f>
        <v>სასტუმროს მომსახურება</v>
      </c>
      <c r="L124" s="54" t="s">
        <v>269</v>
      </c>
      <c r="M124" s="53" t="s">
        <v>328</v>
      </c>
    </row>
    <row r="125" spans="1:13" ht="157.5">
      <c r="A125" s="46">
        <v>119</v>
      </c>
      <c r="B125" s="47" t="s">
        <v>327</v>
      </c>
      <c r="C125" s="47" t="s">
        <v>209</v>
      </c>
      <c r="D125" s="48">
        <f>1477.36</f>
        <v>1477.36</v>
      </c>
      <c r="E125" s="48">
        <f>1477.36</f>
        <v>1477.36</v>
      </c>
      <c r="F125" s="48">
        <f t="shared" si="1"/>
        <v>0</v>
      </c>
      <c r="G125" s="49" t="s">
        <v>301</v>
      </c>
      <c r="H125" s="50" t="s">
        <v>147</v>
      </c>
      <c r="I125" s="47" t="s">
        <v>31</v>
      </c>
      <c r="J125" s="51">
        <v>55300000</v>
      </c>
      <c r="K125" s="48" t="str">
        <f>'[1]გეგმა 2024'!C62</f>
        <v xml:space="preserve">რესტორნებისა და კვების საწარმოების მომსახურეობები </v>
      </c>
      <c r="L125" s="54" t="s">
        <v>269</v>
      </c>
      <c r="M125" s="53" t="s">
        <v>329</v>
      </c>
    </row>
    <row r="126" spans="1:13" ht="157.5">
      <c r="A126" s="46">
        <v>120</v>
      </c>
      <c r="B126" s="47" t="s">
        <v>330</v>
      </c>
      <c r="C126" s="47" t="s">
        <v>209</v>
      </c>
      <c r="D126" s="48">
        <v>2200</v>
      </c>
      <c r="E126" s="48">
        <f>2200</f>
        <v>2200</v>
      </c>
      <c r="F126" s="48">
        <f t="shared" si="1"/>
        <v>0</v>
      </c>
      <c r="G126" s="49" t="s">
        <v>301</v>
      </c>
      <c r="H126" s="50" t="s">
        <v>147</v>
      </c>
      <c r="I126" s="47" t="s">
        <v>31</v>
      </c>
      <c r="J126" s="51">
        <v>55300000</v>
      </c>
      <c r="K126" s="48" t="str">
        <f>'[1]გეგმა 2024'!C62</f>
        <v xml:space="preserve">რესტორნებისა და კვების საწარმოების მომსახურეობები </v>
      </c>
      <c r="L126" s="54" t="s">
        <v>269</v>
      </c>
      <c r="M126" s="53" t="s">
        <v>331</v>
      </c>
    </row>
    <row r="127" spans="1:13" ht="157.5">
      <c r="A127" s="46">
        <v>121</v>
      </c>
      <c r="B127" s="47" t="s">
        <v>332</v>
      </c>
      <c r="C127" s="47" t="s">
        <v>209</v>
      </c>
      <c r="D127" s="48">
        <f>1480</f>
        <v>1480</v>
      </c>
      <c r="E127" s="48">
        <f>1480</f>
        <v>1480</v>
      </c>
      <c r="F127" s="48">
        <f t="shared" si="1"/>
        <v>0</v>
      </c>
      <c r="G127" s="49" t="s">
        <v>301</v>
      </c>
      <c r="H127" s="50" t="s">
        <v>147</v>
      </c>
      <c r="I127" s="47" t="s">
        <v>31</v>
      </c>
      <c r="J127" s="51">
        <v>55300000</v>
      </c>
      <c r="K127" s="48" t="str">
        <f>'[1]გეგმა 2024'!C62</f>
        <v xml:space="preserve">რესტორნებისა და კვების საწარმოების მომსახურეობები </v>
      </c>
      <c r="L127" s="54" t="s">
        <v>269</v>
      </c>
      <c r="M127" s="53" t="s">
        <v>333</v>
      </c>
    </row>
    <row r="128" spans="1:13" ht="157.5">
      <c r="A128" s="46">
        <v>122</v>
      </c>
      <c r="B128" s="47" t="s">
        <v>334</v>
      </c>
      <c r="C128" s="47" t="s">
        <v>209</v>
      </c>
      <c r="D128" s="48">
        <f>597.08</f>
        <v>597.08000000000004</v>
      </c>
      <c r="E128" s="48">
        <f>597.08</f>
        <v>597.08000000000004</v>
      </c>
      <c r="F128" s="48">
        <f t="shared" si="1"/>
        <v>0</v>
      </c>
      <c r="G128" s="49" t="s">
        <v>301</v>
      </c>
      <c r="H128" s="50" t="s">
        <v>147</v>
      </c>
      <c r="I128" s="47" t="s">
        <v>31</v>
      </c>
      <c r="J128" s="51">
        <v>55300000</v>
      </c>
      <c r="K128" s="48" t="str">
        <f>'[1]გეგმა 2024'!C62</f>
        <v xml:space="preserve">რესტორნებისა და კვების საწარმოების მომსახურეობები </v>
      </c>
      <c r="L128" s="54" t="s">
        <v>269</v>
      </c>
      <c r="M128" s="53" t="s">
        <v>335</v>
      </c>
    </row>
    <row r="129" spans="1:13" ht="157.5">
      <c r="A129" s="46">
        <v>123</v>
      </c>
      <c r="B129" s="47" t="s">
        <v>336</v>
      </c>
      <c r="C129" s="47" t="s">
        <v>207</v>
      </c>
      <c r="D129" s="48">
        <f>14805</f>
        <v>14805</v>
      </c>
      <c r="E129" s="48">
        <f>14805</f>
        <v>14805</v>
      </c>
      <c r="F129" s="48">
        <f t="shared" ref="F129:F191" si="2">D129-E129</f>
        <v>0</v>
      </c>
      <c r="G129" s="49" t="s">
        <v>337</v>
      </c>
      <c r="H129" s="50" t="s">
        <v>147</v>
      </c>
      <c r="I129" s="47" t="s">
        <v>31</v>
      </c>
      <c r="J129" s="51">
        <v>55100000</v>
      </c>
      <c r="K129" s="48" t="str">
        <f>'[1]გეგმა 2024'!C59</f>
        <v>სასტუმროს მომსახურება</v>
      </c>
      <c r="L129" s="54" t="s">
        <v>269</v>
      </c>
      <c r="M129" s="53" t="s">
        <v>338</v>
      </c>
    </row>
    <row r="130" spans="1:13" ht="157.5">
      <c r="A130" s="46">
        <v>124</v>
      </c>
      <c r="B130" s="47" t="s">
        <v>327</v>
      </c>
      <c r="C130" s="47" t="s">
        <v>207</v>
      </c>
      <c r="D130" s="48">
        <f>28480.95</f>
        <v>28480.95</v>
      </c>
      <c r="E130" s="48">
        <f>28480.95</f>
        <v>28480.95</v>
      </c>
      <c r="F130" s="48">
        <f t="shared" si="2"/>
        <v>0</v>
      </c>
      <c r="G130" s="49" t="s">
        <v>337</v>
      </c>
      <c r="H130" s="50" t="s">
        <v>147</v>
      </c>
      <c r="I130" s="47" t="s">
        <v>31</v>
      </c>
      <c r="J130" s="51">
        <v>55100000</v>
      </c>
      <c r="K130" s="48" t="str">
        <f>'[1]გეგმა 2024'!C59</f>
        <v>სასტუმროს მომსახურება</v>
      </c>
      <c r="L130" s="54" t="s">
        <v>269</v>
      </c>
      <c r="M130" s="53" t="s">
        <v>339</v>
      </c>
    </row>
    <row r="131" spans="1:13" ht="157.5">
      <c r="A131" s="46">
        <v>125</v>
      </c>
      <c r="B131" s="47" t="s">
        <v>340</v>
      </c>
      <c r="C131" s="47" t="s">
        <v>207</v>
      </c>
      <c r="D131" s="48">
        <f>36365</f>
        <v>36365</v>
      </c>
      <c r="E131" s="48">
        <f>36365</f>
        <v>36365</v>
      </c>
      <c r="F131" s="48">
        <f t="shared" si="2"/>
        <v>0</v>
      </c>
      <c r="G131" s="48" t="s">
        <v>337</v>
      </c>
      <c r="H131" s="48" t="s">
        <v>147</v>
      </c>
      <c r="I131" s="48" t="s">
        <v>31</v>
      </c>
      <c r="J131" s="51">
        <v>55100000</v>
      </c>
      <c r="K131" s="48" t="str">
        <f>'[1]გეგმა 2024'!C59</f>
        <v>სასტუმროს მომსახურება</v>
      </c>
      <c r="L131" s="54" t="s">
        <v>269</v>
      </c>
      <c r="M131" s="53" t="s">
        <v>341</v>
      </c>
    </row>
    <row r="132" spans="1:13" ht="157.5">
      <c r="A132" s="46">
        <v>126</v>
      </c>
      <c r="B132" s="47" t="s">
        <v>327</v>
      </c>
      <c r="C132" s="47" t="s">
        <v>209</v>
      </c>
      <c r="D132" s="48">
        <f>3866.86</f>
        <v>3866.86</v>
      </c>
      <c r="E132" s="48">
        <f>3866.86</f>
        <v>3866.86</v>
      </c>
      <c r="F132" s="48">
        <f t="shared" si="2"/>
        <v>0</v>
      </c>
      <c r="G132" s="49" t="s">
        <v>337</v>
      </c>
      <c r="H132" s="50" t="s">
        <v>147</v>
      </c>
      <c r="I132" s="47" t="s">
        <v>31</v>
      </c>
      <c r="J132" s="51">
        <v>55300000</v>
      </c>
      <c r="K132" s="48" t="str">
        <f>'[1]გეგმა 2024'!C62</f>
        <v xml:space="preserve">რესტორნებისა და კვების საწარმოების მომსახურეობები </v>
      </c>
      <c r="L132" s="54" t="s">
        <v>269</v>
      </c>
      <c r="M132" s="53" t="s">
        <v>342</v>
      </c>
    </row>
    <row r="133" spans="1:13" ht="157.5">
      <c r="A133" s="46">
        <v>127</v>
      </c>
      <c r="B133" s="47" t="s">
        <v>340</v>
      </c>
      <c r="C133" s="47" t="s">
        <v>209</v>
      </c>
      <c r="D133" s="48">
        <v>5600</v>
      </c>
      <c r="E133" s="48">
        <f>5600</f>
        <v>5600</v>
      </c>
      <c r="F133" s="48">
        <f t="shared" si="2"/>
        <v>0</v>
      </c>
      <c r="G133" s="48" t="s">
        <v>337</v>
      </c>
      <c r="H133" s="48" t="s">
        <v>147</v>
      </c>
      <c r="I133" s="48" t="s">
        <v>31</v>
      </c>
      <c r="J133" s="51">
        <v>55300000</v>
      </c>
      <c r="K133" s="48" t="str">
        <f>'[1]გეგმა 2024'!C62</f>
        <v xml:space="preserve">რესტორნებისა და კვების საწარმოების მომსახურეობები </v>
      </c>
      <c r="L133" s="54" t="s">
        <v>269</v>
      </c>
      <c r="M133" s="53" t="s">
        <v>343</v>
      </c>
    </row>
    <row r="134" spans="1:13" ht="157.5">
      <c r="A134" s="46">
        <v>128</v>
      </c>
      <c r="B134" s="47" t="s">
        <v>344</v>
      </c>
      <c r="C134" s="47" t="s">
        <v>209</v>
      </c>
      <c r="D134" s="48">
        <f>4200</f>
        <v>4200</v>
      </c>
      <c r="E134" s="48">
        <f>4200</f>
        <v>4200</v>
      </c>
      <c r="F134" s="48">
        <f t="shared" si="2"/>
        <v>0</v>
      </c>
      <c r="G134" s="48" t="s">
        <v>337</v>
      </c>
      <c r="H134" s="48" t="s">
        <v>147</v>
      </c>
      <c r="I134" s="48" t="s">
        <v>31</v>
      </c>
      <c r="J134" s="51">
        <v>55300000</v>
      </c>
      <c r="K134" s="47" t="str">
        <f>'[1]გეგმა 2024'!C62</f>
        <v xml:space="preserve">რესტორნებისა და კვების საწარმოების მომსახურეობები </v>
      </c>
      <c r="L134" s="54" t="s">
        <v>269</v>
      </c>
      <c r="M134" s="53" t="s">
        <v>345</v>
      </c>
    </row>
    <row r="135" spans="1:13" ht="157.5">
      <c r="A135" s="46">
        <v>129</v>
      </c>
      <c r="B135" s="47" t="s">
        <v>206</v>
      </c>
      <c r="C135" s="47" t="s">
        <v>209</v>
      </c>
      <c r="D135" s="48">
        <v>15000</v>
      </c>
      <c r="E135" s="48">
        <f>15000</f>
        <v>15000</v>
      </c>
      <c r="F135" s="48">
        <f t="shared" si="2"/>
        <v>0</v>
      </c>
      <c r="G135" s="48" t="s">
        <v>337</v>
      </c>
      <c r="H135" s="48" t="s">
        <v>147</v>
      </c>
      <c r="I135" s="48" t="s">
        <v>31</v>
      </c>
      <c r="J135" s="51">
        <v>55300000</v>
      </c>
      <c r="K135" s="48" t="str">
        <f>'[1]გეგმა 2024'!C62</f>
        <v xml:space="preserve">რესტორნებისა და კვების საწარმოების მომსახურეობები </v>
      </c>
      <c r="L135" s="54" t="s">
        <v>269</v>
      </c>
      <c r="M135" s="53" t="s">
        <v>346</v>
      </c>
    </row>
    <row r="136" spans="1:13" ht="157.5">
      <c r="A136" s="46">
        <v>130</v>
      </c>
      <c r="B136" s="47" t="s">
        <v>347</v>
      </c>
      <c r="C136" s="47" t="s">
        <v>207</v>
      </c>
      <c r="D136" s="48">
        <v>4750</v>
      </c>
      <c r="E136" s="48">
        <f>4750</f>
        <v>4750</v>
      </c>
      <c r="F136" s="48">
        <f t="shared" si="2"/>
        <v>0</v>
      </c>
      <c r="G136" s="48" t="s">
        <v>337</v>
      </c>
      <c r="H136" s="48" t="s">
        <v>147</v>
      </c>
      <c r="I136" s="48" t="s">
        <v>31</v>
      </c>
      <c r="J136" s="51">
        <v>55100000</v>
      </c>
      <c r="K136" s="47" t="str">
        <f>'[1]გეგმა 2024'!C59</f>
        <v>სასტუმროს მომსახურება</v>
      </c>
      <c r="L136" s="54" t="s">
        <v>269</v>
      </c>
      <c r="M136" s="53" t="s">
        <v>348</v>
      </c>
    </row>
    <row r="137" spans="1:13" ht="157.5">
      <c r="A137" s="46">
        <v>131</v>
      </c>
      <c r="B137" s="47" t="s">
        <v>211</v>
      </c>
      <c r="C137" s="47" t="s">
        <v>209</v>
      </c>
      <c r="D137" s="48">
        <f>1854.72</f>
        <v>1854.72</v>
      </c>
      <c r="E137" s="48">
        <f>1854.72</f>
        <v>1854.72</v>
      </c>
      <c r="F137" s="48">
        <f t="shared" si="2"/>
        <v>0</v>
      </c>
      <c r="G137" s="48" t="s">
        <v>337</v>
      </c>
      <c r="H137" s="48" t="s">
        <v>147</v>
      </c>
      <c r="I137" s="48" t="s">
        <v>31</v>
      </c>
      <c r="J137" s="51">
        <v>55300000</v>
      </c>
      <c r="K137" s="48" t="str">
        <f>'[1]გეგმა 2024'!C62</f>
        <v xml:space="preserve">რესტორნებისა და კვების საწარმოების მომსახურეობები </v>
      </c>
      <c r="L137" s="54" t="s">
        <v>269</v>
      </c>
      <c r="M137" s="53" t="s">
        <v>349</v>
      </c>
    </row>
    <row r="138" spans="1:13" ht="157.5">
      <c r="A138" s="46">
        <v>132</v>
      </c>
      <c r="B138" s="47" t="s">
        <v>350</v>
      </c>
      <c r="C138" s="47" t="s">
        <v>209</v>
      </c>
      <c r="D138" s="48">
        <v>6000</v>
      </c>
      <c r="E138" s="48">
        <f>6000</f>
        <v>6000</v>
      </c>
      <c r="F138" s="48">
        <f t="shared" si="2"/>
        <v>0</v>
      </c>
      <c r="G138" s="48" t="s">
        <v>337</v>
      </c>
      <c r="H138" s="48" t="s">
        <v>147</v>
      </c>
      <c r="I138" s="48" t="s">
        <v>31</v>
      </c>
      <c r="J138" s="51">
        <v>55300000</v>
      </c>
      <c r="K138" s="47" t="str">
        <f>'[1]გეგმა 2024'!C62</f>
        <v xml:space="preserve">რესტორნებისა და კვების საწარმოების მომსახურეობები </v>
      </c>
      <c r="L138" s="54" t="s">
        <v>269</v>
      </c>
      <c r="M138" s="53" t="s">
        <v>351</v>
      </c>
    </row>
    <row r="139" spans="1:13" ht="157.5">
      <c r="A139" s="46">
        <v>133</v>
      </c>
      <c r="B139" s="47" t="s">
        <v>347</v>
      </c>
      <c r="C139" s="47" t="s">
        <v>209</v>
      </c>
      <c r="D139" s="48">
        <f>2328.75</f>
        <v>2328.75</v>
      </c>
      <c r="E139" s="48">
        <f>2328.75</f>
        <v>2328.75</v>
      </c>
      <c r="F139" s="48">
        <f t="shared" si="2"/>
        <v>0</v>
      </c>
      <c r="G139" s="48" t="s">
        <v>337</v>
      </c>
      <c r="H139" s="48" t="s">
        <v>147</v>
      </c>
      <c r="I139" s="48" t="s">
        <v>31</v>
      </c>
      <c r="J139" s="51">
        <v>55300000</v>
      </c>
      <c r="K139" s="48" t="str">
        <f>'[1]გეგმა 2024'!C62</f>
        <v xml:space="preserve">რესტორნებისა და კვების საწარმოების მომსახურეობები </v>
      </c>
      <c r="L139" s="54" t="s">
        <v>269</v>
      </c>
      <c r="M139" s="53" t="s">
        <v>352</v>
      </c>
    </row>
    <row r="140" spans="1:13" ht="157.5">
      <c r="A140" s="46">
        <v>134</v>
      </c>
      <c r="B140" s="47" t="s">
        <v>353</v>
      </c>
      <c r="C140" s="47" t="s">
        <v>209</v>
      </c>
      <c r="D140" s="48">
        <f>3746.5</f>
        <v>3746.5</v>
      </c>
      <c r="E140" s="48">
        <f>3746.5</f>
        <v>3746.5</v>
      </c>
      <c r="F140" s="48">
        <f t="shared" si="2"/>
        <v>0</v>
      </c>
      <c r="G140" s="48" t="s">
        <v>337</v>
      </c>
      <c r="H140" s="48" t="s">
        <v>147</v>
      </c>
      <c r="I140" s="48" t="s">
        <v>31</v>
      </c>
      <c r="J140" s="51">
        <v>55300000</v>
      </c>
      <c r="K140" s="47" t="str">
        <f>'[1]გეგმა 2024'!C62</f>
        <v xml:space="preserve">რესტორნებისა და კვების საწარმოების მომსახურეობები </v>
      </c>
      <c r="L140" s="54" t="s">
        <v>269</v>
      </c>
      <c r="M140" s="63" t="s">
        <v>354</v>
      </c>
    </row>
    <row r="141" spans="1:13" ht="247.5">
      <c r="A141" s="46">
        <v>135</v>
      </c>
      <c r="B141" s="47" t="s">
        <v>292</v>
      </c>
      <c r="C141" s="47" t="s">
        <v>355</v>
      </c>
      <c r="D141" s="48">
        <v>11730</v>
      </c>
      <c r="E141" s="48">
        <f>11730</f>
        <v>11730</v>
      </c>
      <c r="F141" s="48">
        <f t="shared" si="2"/>
        <v>0</v>
      </c>
      <c r="G141" s="48" t="s">
        <v>337</v>
      </c>
      <c r="H141" s="48" t="s">
        <v>147</v>
      </c>
      <c r="I141" s="48" t="s">
        <v>31</v>
      </c>
      <c r="J141" s="51">
        <v>92300000</v>
      </c>
      <c r="K141" s="48" t="str">
        <f>'[1]გეგმა 2024'!C111</f>
        <v>გასართობი მომსახურებები-</v>
      </c>
      <c r="L141" s="54" t="s">
        <v>269</v>
      </c>
      <c r="M141" s="53" t="s">
        <v>356</v>
      </c>
    </row>
    <row r="142" spans="1:13" ht="157.5">
      <c r="A142" s="46">
        <v>136</v>
      </c>
      <c r="B142" s="47" t="s">
        <v>292</v>
      </c>
      <c r="C142" s="47" t="s">
        <v>209</v>
      </c>
      <c r="D142" s="48">
        <v>25000</v>
      </c>
      <c r="E142" s="48">
        <f>25000</f>
        <v>25000</v>
      </c>
      <c r="F142" s="48">
        <f t="shared" si="2"/>
        <v>0</v>
      </c>
      <c r="G142" s="48" t="s">
        <v>337</v>
      </c>
      <c r="H142" s="48" t="s">
        <v>147</v>
      </c>
      <c r="I142" s="48" t="s">
        <v>31</v>
      </c>
      <c r="J142" s="51">
        <v>55300000</v>
      </c>
      <c r="K142" s="47" t="str">
        <f>'[1]გეგმა 2024'!C62</f>
        <v xml:space="preserve">რესტორნებისა და კვების საწარმოების მომსახურეობები </v>
      </c>
      <c r="L142" s="54" t="s">
        <v>269</v>
      </c>
      <c r="M142" s="53" t="s">
        <v>357</v>
      </c>
    </row>
    <row r="143" spans="1:13" ht="157.5">
      <c r="A143" s="46">
        <v>137</v>
      </c>
      <c r="B143" s="47" t="s">
        <v>358</v>
      </c>
      <c r="C143" s="47" t="s">
        <v>188</v>
      </c>
      <c r="D143" s="48">
        <v>2500</v>
      </c>
      <c r="E143" s="48">
        <f>2500</f>
        <v>2500</v>
      </c>
      <c r="F143" s="48">
        <f t="shared" si="2"/>
        <v>0</v>
      </c>
      <c r="G143" s="48" t="s">
        <v>337</v>
      </c>
      <c r="H143" s="48" t="s">
        <v>147</v>
      </c>
      <c r="I143" s="48" t="s">
        <v>31</v>
      </c>
      <c r="J143" s="51">
        <v>60100000</v>
      </c>
      <c r="K143" s="48" t="str">
        <f>'[1]გეგმა 2024'!C64</f>
        <v xml:space="preserve"> საავტომობილო ტრანსპორტის მომსახურებები</v>
      </c>
      <c r="L143" s="54" t="s">
        <v>269</v>
      </c>
      <c r="M143" s="53" t="s">
        <v>359</v>
      </c>
    </row>
    <row r="144" spans="1:13" ht="157.5">
      <c r="A144" s="46">
        <v>138</v>
      </c>
      <c r="B144" s="47" t="s">
        <v>327</v>
      </c>
      <c r="C144" s="47" t="s">
        <v>207</v>
      </c>
      <c r="D144" s="48">
        <v>755.92</v>
      </c>
      <c r="E144" s="48">
        <f>755.92</f>
        <v>755.92</v>
      </c>
      <c r="F144" s="48">
        <f t="shared" si="2"/>
        <v>0</v>
      </c>
      <c r="G144" s="48" t="s">
        <v>337</v>
      </c>
      <c r="H144" s="48" t="s">
        <v>147</v>
      </c>
      <c r="I144" s="48" t="s">
        <v>31</v>
      </c>
      <c r="J144" s="51">
        <v>55100000</v>
      </c>
      <c r="K144" s="47" t="str">
        <f>'[1]გეგმა 2024'!C59</f>
        <v>სასტუმროს მომსახურება</v>
      </c>
      <c r="L144" s="54" t="s">
        <v>269</v>
      </c>
      <c r="M144" s="53" t="s">
        <v>360</v>
      </c>
    </row>
    <row r="145" spans="1:13" ht="157.5">
      <c r="A145" s="46">
        <v>139</v>
      </c>
      <c r="B145" s="47" t="s">
        <v>361</v>
      </c>
      <c r="C145" s="47" t="s">
        <v>240</v>
      </c>
      <c r="D145" s="48">
        <v>500</v>
      </c>
      <c r="E145" s="48">
        <f>500</f>
        <v>500</v>
      </c>
      <c r="F145" s="48">
        <f t="shared" si="2"/>
        <v>0</v>
      </c>
      <c r="G145" s="48" t="s">
        <v>337</v>
      </c>
      <c r="H145" s="48" t="s">
        <v>147</v>
      </c>
      <c r="I145" s="48" t="s">
        <v>31</v>
      </c>
      <c r="J145" s="51">
        <v>63500000</v>
      </c>
      <c r="K145" s="48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145" s="54" t="s">
        <v>269</v>
      </c>
      <c r="M145" s="53" t="s">
        <v>362</v>
      </c>
    </row>
    <row r="146" spans="1:13" ht="157.5">
      <c r="A146" s="46">
        <v>140</v>
      </c>
      <c r="B146" s="47" t="s">
        <v>363</v>
      </c>
      <c r="C146" s="47" t="s">
        <v>209</v>
      </c>
      <c r="D146" s="48">
        <f>2354.1</f>
        <v>2354.1</v>
      </c>
      <c r="E146" s="48">
        <f>2354.1</f>
        <v>2354.1</v>
      </c>
      <c r="F146" s="48">
        <f t="shared" si="2"/>
        <v>0</v>
      </c>
      <c r="G146" s="48" t="s">
        <v>337</v>
      </c>
      <c r="H146" s="48" t="s">
        <v>147</v>
      </c>
      <c r="I146" s="48" t="s">
        <v>31</v>
      </c>
      <c r="J146" s="51">
        <v>55300000</v>
      </c>
      <c r="K146" s="47" t="str">
        <f>'[1]გეგმა 2024'!C62</f>
        <v xml:space="preserve">რესტორნებისა და კვების საწარმოების მომსახურეობები </v>
      </c>
      <c r="L146" s="54" t="s">
        <v>269</v>
      </c>
      <c r="M146" s="53" t="s">
        <v>364</v>
      </c>
    </row>
    <row r="147" spans="1:13" ht="157.5">
      <c r="A147" s="46">
        <v>141</v>
      </c>
      <c r="B147" s="47" t="s">
        <v>365</v>
      </c>
      <c r="C147" s="47" t="s">
        <v>273</v>
      </c>
      <c r="D147" s="48">
        <v>1350</v>
      </c>
      <c r="E147" s="48">
        <f>1350</f>
        <v>1350</v>
      </c>
      <c r="F147" s="48">
        <f t="shared" si="2"/>
        <v>0</v>
      </c>
      <c r="G147" s="48" t="s">
        <v>337</v>
      </c>
      <c r="H147" s="48" t="s">
        <v>147</v>
      </c>
      <c r="I147" s="48" t="s">
        <v>31</v>
      </c>
      <c r="J147" s="51">
        <v>55400000</v>
      </c>
      <c r="K147" s="48" t="str">
        <f>'[1]გეგმა 2024'!C63</f>
        <v>სასმელების მიტანის მომსახურება</v>
      </c>
      <c r="L147" s="54" t="s">
        <v>269</v>
      </c>
      <c r="M147" s="53" t="s">
        <v>366</v>
      </c>
    </row>
    <row r="148" spans="1:13" ht="157.5">
      <c r="A148" s="46">
        <v>142</v>
      </c>
      <c r="B148" s="47" t="s">
        <v>365</v>
      </c>
      <c r="C148" s="47" t="s">
        <v>209</v>
      </c>
      <c r="D148" s="48">
        <f>2727.12</f>
        <v>2727.12</v>
      </c>
      <c r="E148" s="48">
        <f>2727.12</f>
        <v>2727.12</v>
      </c>
      <c r="F148" s="48">
        <f t="shared" si="2"/>
        <v>0</v>
      </c>
      <c r="G148" s="48" t="s">
        <v>337</v>
      </c>
      <c r="H148" s="48" t="s">
        <v>147</v>
      </c>
      <c r="I148" s="48" t="s">
        <v>31</v>
      </c>
      <c r="J148" s="51">
        <v>55300000</v>
      </c>
      <c r="K148" s="47" t="str">
        <f>'[1]გეგმა 2024'!C62</f>
        <v xml:space="preserve">რესტორნებისა და კვების საწარმოების მომსახურეობები </v>
      </c>
      <c r="L148" s="53" t="s">
        <v>269</v>
      </c>
      <c r="M148" s="53" t="s">
        <v>367</v>
      </c>
    </row>
    <row r="149" spans="1:13" ht="157.5">
      <c r="A149" s="46">
        <v>143</v>
      </c>
      <c r="B149" s="47" t="s">
        <v>229</v>
      </c>
      <c r="C149" s="47" t="s">
        <v>313</v>
      </c>
      <c r="D149" s="48">
        <v>1336.5</v>
      </c>
      <c r="E149" s="48">
        <f>1336.5</f>
        <v>1336.5</v>
      </c>
      <c r="F149" s="48">
        <f t="shared" si="2"/>
        <v>0</v>
      </c>
      <c r="G149" s="48" t="s">
        <v>337</v>
      </c>
      <c r="H149" s="48" t="s">
        <v>147</v>
      </c>
      <c r="I149" s="48" t="s">
        <v>31</v>
      </c>
      <c r="J149" s="51">
        <v>55300000</v>
      </c>
      <c r="K149" s="48" t="str">
        <f>'[1]გეგმა 2024'!C62</f>
        <v xml:space="preserve">რესტორნებისა და კვების საწარმოების მომსახურეობები </v>
      </c>
      <c r="L149" s="53" t="s">
        <v>269</v>
      </c>
      <c r="M149" s="68" t="s">
        <v>368</v>
      </c>
    </row>
    <row r="150" spans="1:13" ht="157.5">
      <c r="A150" s="46">
        <v>144</v>
      </c>
      <c r="B150" s="47" t="s">
        <v>229</v>
      </c>
      <c r="C150" s="47" t="s">
        <v>209</v>
      </c>
      <c r="D150" s="48">
        <f>1711.8</f>
        <v>1711.8</v>
      </c>
      <c r="E150" s="48">
        <f>1711.8</f>
        <v>1711.8</v>
      </c>
      <c r="F150" s="48">
        <f t="shared" si="2"/>
        <v>0</v>
      </c>
      <c r="G150" s="48" t="s">
        <v>337</v>
      </c>
      <c r="H150" s="48" t="s">
        <v>147</v>
      </c>
      <c r="I150" s="48" t="s">
        <v>31</v>
      </c>
      <c r="J150" s="51">
        <v>55300000</v>
      </c>
      <c r="K150" s="47" t="str">
        <f>'[1]გეგმა 2024'!C62</f>
        <v xml:space="preserve">რესტორნებისა და კვების საწარმოების მომსახურეობები </v>
      </c>
      <c r="L150" s="53" t="s">
        <v>269</v>
      </c>
      <c r="M150" s="53" t="s">
        <v>369</v>
      </c>
    </row>
    <row r="151" spans="1:13" ht="67.5">
      <c r="A151" s="21">
        <v>145</v>
      </c>
      <c r="B151" s="2" t="s">
        <v>370</v>
      </c>
      <c r="C151" s="2" t="s">
        <v>371</v>
      </c>
      <c r="D151" s="22">
        <v>142000</v>
      </c>
      <c r="E151" s="22">
        <f>1420+11142+20410+840</f>
        <v>33812</v>
      </c>
      <c r="F151" s="22">
        <f t="shared" si="2"/>
        <v>108188</v>
      </c>
      <c r="G151" s="22" t="s">
        <v>337</v>
      </c>
      <c r="H151" s="22" t="s">
        <v>147</v>
      </c>
      <c r="I151" s="22" t="s">
        <v>24</v>
      </c>
      <c r="J151" s="23">
        <v>79800000</v>
      </c>
      <c r="K151" s="2" t="str">
        <f>'[1]გეგმა 2024'!C98</f>
        <v>ბეჭდვა და მასთან დაკავშირებული მომსახურებები</v>
      </c>
      <c r="L151" s="24" t="s">
        <v>372</v>
      </c>
      <c r="M151" s="24" t="s">
        <v>372</v>
      </c>
    </row>
    <row r="152" spans="1:13" ht="157.5">
      <c r="A152" s="46">
        <v>146</v>
      </c>
      <c r="B152" s="47" t="s">
        <v>373</v>
      </c>
      <c r="C152" s="47" t="s">
        <v>188</v>
      </c>
      <c r="D152" s="48">
        <v>15360</v>
      </c>
      <c r="E152" s="48">
        <f>15360</f>
        <v>15360</v>
      </c>
      <c r="F152" s="48">
        <f t="shared" si="2"/>
        <v>0</v>
      </c>
      <c r="G152" s="48" t="s">
        <v>337</v>
      </c>
      <c r="H152" s="48" t="s">
        <v>147</v>
      </c>
      <c r="I152" s="48" t="s">
        <v>31</v>
      </c>
      <c r="J152" s="51">
        <v>60100000</v>
      </c>
      <c r="K152" s="47" t="str">
        <f>'[1]გეგმა 2024'!C64</f>
        <v xml:space="preserve"> საავტომობილო ტრანსპორტის მომსახურებები</v>
      </c>
      <c r="L152" s="53" t="s">
        <v>269</v>
      </c>
      <c r="M152" s="53" t="s">
        <v>374</v>
      </c>
    </row>
    <row r="153" spans="1:13" ht="157.5">
      <c r="A153" s="46">
        <v>147</v>
      </c>
      <c r="B153" s="47" t="s">
        <v>375</v>
      </c>
      <c r="C153" s="47" t="s">
        <v>207</v>
      </c>
      <c r="D153" s="48">
        <v>5600</v>
      </c>
      <c r="E153" s="48">
        <f>5600</f>
        <v>5600</v>
      </c>
      <c r="F153" s="48">
        <f t="shared" si="2"/>
        <v>0</v>
      </c>
      <c r="G153" s="48" t="s">
        <v>337</v>
      </c>
      <c r="H153" s="48" t="s">
        <v>147</v>
      </c>
      <c r="I153" s="48" t="s">
        <v>31</v>
      </c>
      <c r="J153" s="51">
        <v>55100000</v>
      </c>
      <c r="K153" s="48" t="str">
        <f>'[1]გეგმა 2024'!C59</f>
        <v>სასტუმროს მომსახურება</v>
      </c>
      <c r="L153" s="54" t="s">
        <v>269</v>
      </c>
      <c r="M153" s="53" t="s">
        <v>376</v>
      </c>
    </row>
    <row r="154" spans="1:13" ht="157.5">
      <c r="A154" s="46">
        <v>148</v>
      </c>
      <c r="B154" s="47" t="s">
        <v>377</v>
      </c>
      <c r="C154" s="47" t="s">
        <v>207</v>
      </c>
      <c r="D154" s="48">
        <v>2400</v>
      </c>
      <c r="E154" s="48">
        <f>2400</f>
        <v>2400</v>
      </c>
      <c r="F154" s="48">
        <f t="shared" si="2"/>
        <v>0</v>
      </c>
      <c r="G154" s="48" t="s">
        <v>337</v>
      </c>
      <c r="H154" s="48" t="s">
        <v>147</v>
      </c>
      <c r="I154" s="48" t="s">
        <v>31</v>
      </c>
      <c r="J154" s="51">
        <v>55100000</v>
      </c>
      <c r="K154" s="47" t="str">
        <f>'[1]გეგმა 2024'!C59</f>
        <v>სასტუმროს მომსახურება</v>
      </c>
      <c r="L154" s="54" t="s">
        <v>269</v>
      </c>
      <c r="M154" s="53" t="s">
        <v>378</v>
      </c>
    </row>
    <row r="155" spans="1:13" ht="157.5">
      <c r="A155" s="46">
        <v>149</v>
      </c>
      <c r="B155" s="47" t="s">
        <v>379</v>
      </c>
      <c r="C155" s="47" t="s">
        <v>207</v>
      </c>
      <c r="D155" s="48">
        <v>3200</v>
      </c>
      <c r="E155" s="48">
        <f>3200</f>
        <v>3200</v>
      </c>
      <c r="F155" s="48">
        <f t="shared" si="2"/>
        <v>0</v>
      </c>
      <c r="G155" s="48" t="s">
        <v>337</v>
      </c>
      <c r="H155" s="48" t="s">
        <v>147</v>
      </c>
      <c r="I155" s="48" t="s">
        <v>31</v>
      </c>
      <c r="J155" s="51">
        <v>55100000</v>
      </c>
      <c r="K155" s="48" t="str">
        <f>'[1]გეგმა 2024'!C59</f>
        <v>სასტუმროს მომსახურება</v>
      </c>
      <c r="L155" s="54" t="s">
        <v>269</v>
      </c>
      <c r="M155" s="53" t="s">
        <v>380</v>
      </c>
    </row>
    <row r="156" spans="1:13" ht="303.75">
      <c r="A156" s="46">
        <v>150</v>
      </c>
      <c r="B156" s="69" t="s">
        <v>381</v>
      </c>
      <c r="C156" s="70" t="s">
        <v>382</v>
      </c>
      <c r="D156" s="48">
        <f>33690.86</f>
        <v>33690.86</v>
      </c>
      <c r="E156" s="48">
        <f>33690.86</f>
        <v>33690.86</v>
      </c>
      <c r="F156" s="48">
        <f t="shared" si="2"/>
        <v>0</v>
      </c>
      <c r="G156" s="48" t="s">
        <v>337</v>
      </c>
      <c r="H156" s="48" t="s">
        <v>147</v>
      </c>
      <c r="I156" s="48" t="s">
        <v>31</v>
      </c>
      <c r="J156" s="51">
        <v>39100000</v>
      </c>
      <c r="K156" s="48" t="str">
        <f>'[1]გეგმა 2024'!C36</f>
        <v>ავეჯი (სტენდები)</v>
      </c>
      <c r="L156" s="54" t="s">
        <v>108</v>
      </c>
      <c r="M156" s="53" t="s">
        <v>383</v>
      </c>
    </row>
    <row r="157" spans="1:13" ht="303.75">
      <c r="A157" s="46">
        <v>150</v>
      </c>
      <c r="B157" s="69" t="s">
        <v>381</v>
      </c>
      <c r="C157" s="70" t="s">
        <v>382</v>
      </c>
      <c r="D157" s="48">
        <f>39996.6</f>
        <v>39996.6</v>
      </c>
      <c r="E157" s="48">
        <f>39996.6</f>
        <v>39996.6</v>
      </c>
      <c r="F157" s="48">
        <f t="shared" si="2"/>
        <v>0</v>
      </c>
      <c r="G157" s="48" t="s">
        <v>337</v>
      </c>
      <c r="H157" s="48" t="s">
        <v>147</v>
      </c>
      <c r="I157" s="48" t="s">
        <v>31</v>
      </c>
      <c r="J157" s="51">
        <v>39100000</v>
      </c>
      <c r="K157" s="47" t="str">
        <f>'[1]გეგმა 2024 (საკ. შ.)'!C7</f>
        <v>სტენდები (საკ.შ.)</v>
      </c>
      <c r="L157" s="53" t="s">
        <v>108</v>
      </c>
      <c r="M157" s="53" t="s">
        <v>383</v>
      </c>
    </row>
    <row r="158" spans="1:13" ht="157.5">
      <c r="A158" s="46">
        <v>151</v>
      </c>
      <c r="B158" s="47" t="s">
        <v>384</v>
      </c>
      <c r="C158" s="47" t="s">
        <v>207</v>
      </c>
      <c r="D158" s="48">
        <v>12900</v>
      </c>
      <c r="E158" s="48">
        <f>12900</f>
        <v>12900</v>
      </c>
      <c r="F158" s="48">
        <f t="shared" si="2"/>
        <v>0</v>
      </c>
      <c r="G158" s="48" t="s">
        <v>337</v>
      </c>
      <c r="H158" s="48" t="s">
        <v>147</v>
      </c>
      <c r="I158" s="48" t="s">
        <v>31</v>
      </c>
      <c r="J158" s="51">
        <v>55100000</v>
      </c>
      <c r="K158" s="48" t="str">
        <f>'[1]გეგმა 2024'!C59</f>
        <v>სასტუმროს მომსახურება</v>
      </c>
      <c r="L158" s="55" t="s">
        <v>269</v>
      </c>
      <c r="M158" s="55" t="s">
        <v>385</v>
      </c>
    </row>
    <row r="159" spans="1:13" ht="157.5">
      <c r="A159" s="46">
        <v>152</v>
      </c>
      <c r="B159" s="47" t="s">
        <v>340</v>
      </c>
      <c r="C159" s="47" t="s">
        <v>209</v>
      </c>
      <c r="D159" s="48">
        <f>296.18</f>
        <v>296.18</v>
      </c>
      <c r="E159" s="48">
        <f>296.18</f>
        <v>296.18</v>
      </c>
      <c r="F159" s="48">
        <f t="shared" si="2"/>
        <v>0</v>
      </c>
      <c r="G159" s="48" t="s">
        <v>337</v>
      </c>
      <c r="H159" s="48" t="s">
        <v>147</v>
      </c>
      <c r="I159" s="48" t="s">
        <v>31</v>
      </c>
      <c r="J159" s="51">
        <v>55300000</v>
      </c>
      <c r="K159" s="47" t="str">
        <f>'[1]გეგმა 2024'!C62</f>
        <v xml:space="preserve">რესტორნებისა და კვების საწარმოების მომსახურეობები </v>
      </c>
      <c r="L159" s="71" t="s">
        <v>269</v>
      </c>
      <c r="M159" s="72" t="s">
        <v>386</v>
      </c>
    </row>
    <row r="160" spans="1:13" ht="157.5">
      <c r="A160" s="46">
        <v>153</v>
      </c>
      <c r="B160" s="47" t="s">
        <v>387</v>
      </c>
      <c r="C160" s="47" t="s">
        <v>240</v>
      </c>
      <c r="D160" s="48">
        <v>5785</v>
      </c>
      <c r="E160" s="48">
        <f>5785</f>
        <v>5785</v>
      </c>
      <c r="F160" s="48">
        <f t="shared" si="2"/>
        <v>0</v>
      </c>
      <c r="G160" s="48" t="s">
        <v>337</v>
      </c>
      <c r="H160" s="48" t="s">
        <v>147</v>
      </c>
      <c r="I160" s="48" t="s">
        <v>31</v>
      </c>
      <c r="J160" s="51">
        <v>63500000</v>
      </c>
      <c r="K160" s="48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160" s="71" t="s">
        <v>269</v>
      </c>
      <c r="M160" s="53" t="s">
        <v>388</v>
      </c>
    </row>
    <row r="161" spans="1:13" ht="157.5">
      <c r="A161" s="46">
        <v>154</v>
      </c>
      <c r="B161" s="47" t="s">
        <v>389</v>
      </c>
      <c r="C161" s="47" t="s">
        <v>209</v>
      </c>
      <c r="D161" s="48">
        <f>365.65</f>
        <v>365.65</v>
      </c>
      <c r="E161" s="48">
        <f>365.65</f>
        <v>365.65</v>
      </c>
      <c r="F161" s="48">
        <f t="shared" si="2"/>
        <v>0</v>
      </c>
      <c r="G161" s="48" t="s">
        <v>337</v>
      </c>
      <c r="H161" s="48" t="s">
        <v>147</v>
      </c>
      <c r="I161" s="48" t="s">
        <v>31</v>
      </c>
      <c r="J161" s="51">
        <v>55300000</v>
      </c>
      <c r="K161" s="48" t="str">
        <f>'[1]გეგმა 2024'!C62</f>
        <v xml:space="preserve">რესტორნებისა და კვების საწარმოების მომსახურეობები </v>
      </c>
      <c r="L161" s="71" t="s">
        <v>269</v>
      </c>
      <c r="M161" s="53" t="s">
        <v>390</v>
      </c>
    </row>
    <row r="162" spans="1:13" ht="157.5">
      <c r="A162" s="46">
        <v>155</v>
      </c>
      <c r="B162" s="47" t="s">
        <v>391</v>
      </c>
      <c r="C162" s="47" t="s">
        <v>209</v>
      </c>
      <c r="D162" s="48">
        <f>526.04</f>
        <v>526.04</v>
      </c>
      <c r="E162" s="48">
        <f>526.04</f>
        <v>526.04</v>
      </c>
      <c r="F162" s="48">
        <f t="shared" si="2"/>
        <v>0</v>
      </c>
      <c r="G162" s="48" t="s">
        <v>337</v>
      </c>
      <c r="H162" s="48" t="s">
        <v>147</v>
      </c>
      <c r="I162" s="48" t="s">
        <v>31</v>
      </c>
      <c r="J162" s="51">
        <v>55300000</v>
      </c>
      <c r="K162" s="48" t="str">
        <f>'[1]გეგმა 2024'!C62</f>
        <v xml:space="preserve">რესტორნებისა და კვების საწარმოების მომსახურეობები </v>
      </c>
      <c r="L162" s="71" t="s">
        <v>269</v>
      </c>
      <c r="M162" s="53" t="s">
        <v>392</v>
      </c>
    </row>
    <row r="163" spans="1:13" ht="157.5">
      <c r="A163" s="21">
        <v>156</v>
      </c>
      <c r="B163" s="2" t="s">
        <v>206</v>
      </c>
      <c r="C163" s="2" t="s">
        <v>207</v>
      </c>
      <c r="D163" s="22">
        <v>5000</v>
      </c>
      <c r="E163" s="22"/>
      <c r="F163" s="22">
        <f t="shared" si="2"/>
        <v>5000</v>
      </c>
      <c r="G163" s="22" t="s">
        <v>393</v>
      </c>
      <c r="H163" s="22" t="s">
        <v>147</v>
      </c>
      <c r="I163" s="22" t="s">
        <v>31</v>
      </c>
      <c r="J163" s="23">
        <v>55100000</v>
      </c>
      <c r="K163" s="22" t="str">
        <f>'[1]გეგმა 2024'!C59</f>
        <v>სასტუმროს მომსახურება</v>
      </c>
      <c r="L163" s="73" t="s">
        <v>269</v>
      </c>
      <c r="M163" s="24"/>
    </row>
    <row r="164" spans="1:13" ht="157.5">
      <c r="A164" s="21">
        <v>157</v>
      </c>
      <c r="B164" s="2" t="s">
        <v>373</v>
      </c>
      <c r="C164" s="2" t="s">
        <v>209</v>
      </c>
      <c r="D164" s="22">
        <v>3500</v>
      </c>
      <c r="E164" s="22"/>
      <c r="F164" s="22">
        <f t="shared" si="2"/>
        <v>3500</v>
      </c>
      <c r="G164" s="22" t="s">
        <v>393</v>
      </c>
      <c r="H164" s="22" t="s">
        <v>147</v>
      </c>
      <c r="I164" s="22" t="s">
        <v>31</v>
      </c>
      <c r="J164" s="23">
        <v>55300000</v>
      </c>
      <c r="K164" s="22" t="str">
        <f>'[1]გეგმა 2024'!C62</f>
        <v xml:space="preserve">რესტორნებისა და კვების საწარმოების მომსახურეობები </v>
      </c>
      <c r="L164" s="73" t="s">
        <v>269</v>
      </c>
      <c r="M164" s="24"/>
    </row>
    <row r="165" spans="1:13" ht="157.5">
      <c r="A165" s="46">
        <v>158</v>
      </c>
      <c r="B165" s="47" t="s">
        <v>206</v>
      </c>
      <c r="C165" s="47" t="s">
        <v>207</v>
      </c>
      <c r="D165" s="48">
        <v>5000</v>
      </c>
      <c r="E165" s="48">
        <f>5000</f>
        <v>5000</v>
      </c>
      <c r="F165" s="48">
        <f t="shared" si="2"/>
        <v>0</v>
      </c>
      <c r="G165" s="48" t="s">
        <v>393</v>
      </c>
      <c r="H165" s="48" t="s">
        <v>147</v>
      </c>
      <c r="I165" s="48" t="s">
        <v>31</v>
      </c>
      <c r="J165" s="51">
        <v>55100000</v>
      </c>
      <c r="K165" s="48" t="str">
        <f>'[1]გეგმა 2024'!C59</f>
        <v>სასტუმროს მომსახურება</v>
      </c>
      <c r="L165" s="71" t="s">
        <v>269</v>
      </c>
      <c r="M165" s="74" t="s">
        <v>394</v>
      </c>
    </row>
    <row r="166" spans="1:13" ht="157.5">
      <c r="A166" s="46">
        <v>159</v>
      </c>
      <c r="B166" s="53" t="s">
        <v>395</v>
      </c>
      <c r="C166" s="47" t="s">
        <v>209</v>
      </c>
      <c r="D166" s="48">
        <f>402</f>
        <v>402</v>
      </c>
      <c r="E166" s="48">
        <f>402</f>
        <v>402</v>
      </c>
      <c r="F166" s="48">
        <f t="shared" si="2"/>
        <v>0</v>
      </c>
      <c r="G166" s="48" t="s">
        <v>393</v>
      </c>
      <c r="H166" s="48" t="s">
        <v>147</v>
      </c>
      <c r="I166" s="48" t="s">
        <v>31</v>
      </c>
      <c r="J166" s="51">
        <v>55300000</v>
      </c>
      <c r="K166" s="48" t="str">
        <f>'[1]გეგმა 2024'!C62</f>
        <v xml:space="preserve">რესტორნებისა და კვების საწარმოების მომსახურეობები </v>
      </c>
      <c r="L166" s="71" t="s">
        <v>269</v>
      </c>
      <c r="M166" s="53" t="s">
        <v>396</v>
      </c>
    </row>
    <row r="167" spans="1:13" ht="157.5">
      <c r="A167" s="46">
        <v>160</v>
      </c>
      <c r="B167" s="47" t="s">
        <v>379</v>
      </c>
      <c r="C167" s="47" t="s">
        <v>209</v>
      </c>
      <c r="D167" s="48">
        <f>983</f>
        <v>983</v>
      </c>
      <c r="E167" s="48">
        <f>983</f>
        <v>983</v>
      </c>
      <c r="F167" s="48">
        <f t="shared" si="2"/>
        <v>0</v>
      </c>
      <c r="G167" s="48" t="s">
        <v>393</v>
      </c>
      <c r="H167" s="48" t="s">
        <v>147</v>
      </c>
      <c r="I167" s="48" t="s">
        <v>31</v>
      </c>
      <c r="J167" s="51">
        <v>55300000</v>
      </c>
      <c r="K167" s="48" t="str">
        <f>'[1]გეგმა 2024'!C62</f>
        <v xml:space="preserve">რესტორნებისა და კვების საწარმოების მომსახურეობები </v>
      </c>
      <c r="L167" s="71" t="s">
        <v>269</v>
      </c>
      <c r="M167" s="53" t="s">
        <v>397</v>
      </c>
    </row>
    <row r="168" spans="1:13" ht="157.5">
      <c r="A168" s="21">
        <v>161</v>
      </c>
      <c r="B168" s="2" t="s">
        <v>398</v>
      </c>
      <c r="C168" s="2" t="s">
        <v>209</v>
      </c>
      <c r="D168" s="22">
        <v>500</v>
      </c>
      <c r="E168" s="22"/>
      <c r="F168" s="22">
        <f t="shared" si="2"/>
        <v>500</v>
      </c>
      <c r="G168" s="22" t="s">
        <v>393</v>
      </c>
      <c r="H168" s="22" t="s">
        <v>147</v>
      </c>
      <c r="I168" s="22" t="s">
        <v>31</v>
      </c>
      <c r="J168" s="23">
        <v>55300000</v>
      </c>
      <c r="K168" s="22" t="str">
        <f>'[1]გეგმა 2024'!C62</f>
        <v xml:space="preserve">რესტორნებისა და კვების საწარმოების მომსახურეობები </v>
      </c>
      <c r="L168" s="73" t="s">
        <v>269</v>
      </c>
      <c r="M168" s="24"/>
    </row>
    <row r="169" spans="1:13" ht="157.5">
      <c r="A169" s="46">
        <v>162</v>
      </c>
      <c r="B169" s="47" t="s">
        <v>399</v>
      </c>
      <c r="C169" s="47" t="s">
        <v>209</v>
      </c>
      <c r="D169" s="48">
        <f>500</f>
        <v>500</v>
      </c>
      <c r="E169" s="48">
        <f>500</f>
        <v>500</v>
      </c>
      <c r="F169" s="48">
        <f t="shared" si="2"/>
        <v>0</v>
      </c>
      <c r="G169" s="48" t="s">
        <v>393</v>
      </c>
      <c r="H169" s="48" t="s">
        <v>147</v>
      </c>
      <c r="I169" s="48" t="s">
        <v>31</v>
      </c>
      <c r="J169" s="51">
        <v>55300000</v>
      </c>
      <c r="K169" s="48" t="str">
        <f>'[1]გეგმა 2024'!C62</f>
        <v xml:space="preserve">რესტორნებისა და კვების საწარმოების მომსახურეობები </v>
      </c>
      <c r="L169" s="71" t="s">
        <v>269</v>
      </c>
      <c r="M169" s="75" t="s">
        <v>400</v>
      </c>
    </row>
    <row r="170" spans="1:13" ht="57.75" customHeight="1">
      <c r="A170" s="21">
        <v>164</v>
      </c>
      <c r="B170" s="2" t="s">
        <v>403</v>
      </c>
      <c r="C170" s="2" t="s">
        <v>209</v>
      </c>
      <c r="D170" s="22">
        <v>600</v>
      </c>
      <c r="E170" s="22"/>
      <c r="F170" s="22">
        <f t="shared" si="2"/>
        <v>600</v>
      </c>
      <c r="G170" s="22" t="s">
        <v>402</v>
      </c>
      <c r="H170" s="22" t="s">
        <v>147</v>
      </c>
      <c r="I170" s="22" t="s">
        <v>31</v>
      </c>
      <c r="J170" s="23">
        <v>55300000</v>
      </c>
      <c r="K170" s="22" t="str">
        <f>'[1]გეგმა 2024'!C62</f>
        <v xml:space="preserve">რესტორნებისა და კვების საწარმოების მომსახურეობები </v>
      </c>
      <c r="L170" s="73" t="s">
        <v>269</v>
      </c>
      <c r="M170" s="34" t="s">
        <v>404</v>
      </c>
    </row>
    <row r="171" spans="1:13" ht="36" customHeight="1">
      <c r="A171" s="46">
        <v>165</v>
      </c>
      <c r="B171" s="47" t="s">
        <v>405</v>
      </c>
      <c r="C171" s="47" t="s">
        <v>209</v>
      </c>
      <c r="D171" s="48">
        <v>3400</v>
      </c>
      <c r="E171" s="48">
        <f>3400</f>
        <v>3400</v>
      </c>
      <c r="F171" s="48">
        <f t="shared" si="2"/>
        <v>0</v>
      </c>
      <c r="G171" s="48" t="s">
        <v>402</v>
      </c>
      <c r="H171" s="48" t="s">
        <v>147</v>
      </c>
      <c r="I171" s="51" t="s">
        <v>31</v>
      </c>
      <c r="J171" s="51">
        <v>55300000</v>
      </c>
      <c r="K171" s="48" t="str">
        <f>'[1]გეგმა 2024'!C62</f>
        <v xml:space="preserve">რესტორნებისა და კვების საწარმოების მომსახურეობები </v>
      </c>
      <c r="L171" s="71" t="s">
        <v>269</v>
      </c>
      <c r="M171" s="60" t="s">
        <v>406</v>
      </c>
    </row>
    <row r="172" spans="1:13" ht="46.5" customHeight="1">
      <c r="A172" s="46">
        <v>166</v>
      </c>
      <c r="B172" s="47" t="s">
        <v>405</v>
      </c>
      <c r="C172" s="47" t="s">
        <v>313</v>
      </c>
      <c r="D172" s="48">
        <v>2380</v>
      </c>
      <c r="E172" s="48">
        <f>2380</f>
        <v>2380</v>
      </c>
      <c r="F172" s="48">
        <f t="shared" si="2"/>
        <v>0</v>
      </c>
      <c r="G172" s="48" t="s">
        <v>402</v>
      </c>
      <c r="H172" s="48" t="s">
        <v>147</v>
      </c>
      <c r="I172" s="51" t="s">
        <v>31</v>
      </c>
      <c r="J172" s="51">
        <v>55300000</v>
      </c>
      <c r="K172" s="48" t="str">
        <f>'[1]გეგმა 2024'!C62</f>
        <v xml:space="preserve">რესტორნებისა და კვების საწარმოების მომსახურეობები </v>
      </c>
      <c r="L172" s="71" t="s">
        <v>269</v>
      </c>
      <c r="M172" s="60" t="s">
        <v>407</v>
      </c>
    </row>
    <row r="173" spans="1:13" ht="35.25" customHeight="1">
      <c r="A173" s="46">
        <v>167</v>
      </c>
      <c r="B173" s="47" t="s">
        <v>408</v>
      </c>
      <c r="C173" s="47" t="s">
        <v>209</v>
      </c>
      <c r="D173" s="48">
        <v>3400</v>
      </c>
      <c r="E173" s="48">
        <f>3400</f>
        <v>3400</v>
      </c>
      <c r="F173" s="48">
        <f t="shared" si="2"/>
        <v>0</v>
      </c>
      <c r="G173" s="48" t="s">
        <v>402</v>
      </c>
      <c r="H173" s="48" t="s">
        <v>147</v>
      </c>
      <c r="I173" s="51" t="s">
        <v>31</v>
      </c>
      <c r="J173" s="51">
        <v>55300000</v>
      </c>
      <c r="K173" s="48" t="str">
        <f>'[1]გეგმა 2024'!C62</f>
        <v xml:space="preserve">რესტორნებისა და კვების საწარმოების მომსახურეობები </v>
      </c>
      <c r="L173" s="71" t="s">
        <v>269</v>
      </c>
      <c r="M173" s="53" t="s">
        <v>409</v>
      </c>
    </row>
    <row r="174" spans="1:13" ht="59.25" customHeight="1">
      <c r="A174" s="46">
        <v>168</v>
      </c>
      <c r="B174" s="47" t="s">
        <v>410</v>
      </c>
      <c r="C174" s="47" t="s">
        <v>209</v>
      </c>
      <c r="D174" s="48">
        <f>1387</f>
        <v>1387</v>
      </c>
      <c r="E174" s="48">
        <f>1387</f>
        <v>1387</v>
      </c>
      <c r="F174" s="48">
        <f t="shared" si="2"/>
        <v>0</v>
      </c>
      <c r="G174" s="48" t="s">
        <v>402</v>
      </c>
      <c r="H174" s="48" t="s">
        <v>147</v>
      </c>
      <c r="I174" s="51" t="s">
        <v>31</v>
      </c>
      <c r="J174" s="51">
        <v>55300000</v>
      </c>
      <c r="K174" s="48" t="str">
        <f>'[1]გეგმა 2024'!C62</f>
        <v xml:space="preserve">რესტორნებისა და კვების საწარმოების მომსახურეობები </v>
      </c>
      <c r="L174" s="71" t="s">
        <v>269</v>
      </c>
      <c r="M174" s="53" t="s">
        <v>411</v>
      </c>
    </row>
    <row r="175" spans="1:13" ht="44.25" customHeight="1">
      <c r="A175" s="46">
        <v>169</v>
      </c>
      <c r="B175" s="47" t="s">
        <v>320</v>
      </c>
      <c r="C175" s="47" t="s">
        <v>240</v>
      </c>
      <c r="D175" s="48">
        <v>700</v>
      </c>
      <c r="E175" s="48">
        <f>700</f>
        <v>700</v>
      </c>
      <c r="F175" s="48">
        <f t="shared" si="2"/>
        <v>0</v>
      </c>
      <c r="G175" s="48" t="s">
        <v>412</v>
      </c>
      <c r="H175" s="48" t="s">
        <v>147</v>
      </c>
      <c r="I175" s="51" t="s">
        <v>31</v>
      </c>
      <c r="J175" s="51">
        <v>63500000</v>
      </c>
      <c r="K175" s="48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175" s="71" t="s">
        <v>269</v>
      </c>
      <c r="M175" s="53" t="s">
        <v>413</v>
      </c>
    </row>
    <row r="176" spans="1:13" ht="157.5">
      <c r="A176" s="46">
        <v>170</v>
      </c>
      <c r="B176" s="47" t="s">
        <v>414</v>
      </c>
      <c r="C176" s="47" t="s">
        <v>240</v>
      </c>
      <c r="D176" s="48">
        <v>1300</v>
      </c>
      <c r="E176" s="48">
        <f>1300</f>
        <v>1300</v>
      </c>
      <c r="F176" s="48">
        <f t="shared" si="2"/>
        <v>0</v>
      </c>
      <c r="G176" s="48" t="s">
        <v>412</v>
      </c>
      <c r="H176" s="48" t="s">
        <v>147</v>
      </c>
      <c r="I176" s="51" t="s">
        <v>31</v>
      </c>
      <c r="J176" s="51">
        <v>63500000</v>
      </c>
      <c r="K176" s="48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176" s="71" t="s">
        <v>269</v>
      </c>
      <c r="M176" s="76" t="s">
        <v>415</v>
      </c>
    </row>
    <row r="177" spans="1:13" ht="157.5">
      <c r="A177" s="46">
        <v>171</v>
      </c>
      <c r="B177" s="47" t="s">
        <v>416</v>
      </c>
      <c r="C177" s="47" t="s">
        <v>207</v>
      </c>
      <c r="D177" s="48">
        <v>18813.599999999999</v>
      </c>
      <c r="E177" s="48">
        <f>18813.6</f>
        <v>18813.599999999999</v>
      </c>
      <c r="F177" s="48">
        <f t="shared" si="2"/>
        <v>0</v>
      </c>
      <c r="G177" s="48" t="s">
        <v>412</v>
      </c>
      <c r="H177" s="48" t="s">
        <v>147</v>
      </c>
      <c r="I177" s="51" t="s">
        <v>31</v>
      </c>
      <c r="J177" s="51">
        <v>55100000</v>
      </c>
      <c r="K177" s="48" t="str">
        <f>'[1]გეგმა 2024'!C59</f>
        <v>სასტუმროს მომსახურება</v>
      </c>
      <c r="L177" s="71" t="s">
        <v>269</v>
      </c>
      <c r="M177" s="53" t="s">
        <v>417</v>
      </c>
    </row>
    <row r="178" spans="1:13" ht="157.5">
      <c r="A178" s="46">
        <v>172</v>
      </c>
      <c r="B178" s="47" t="s">
        <v>418</v>
      </c>
      <c r="C178" s="47" t="s">
        <v>188</v>
      </c>
      <c r="D178" s="48">
        <v>3200</v>
      </c>
      <c r="E178" s="48">
        <f>3200</f>
        <v>3200</v>
      </c>
      <c r="F178" s="48">
        <f t="shared" si="2"/>
        <v>0</v>
      </c>
      <c r="G178" s="48" t="s">
        <v>412</v>
      </c>
      <c r="H178" s="48" t="s">
        <v>147</v>
      </c>
      <c r="I178" s="51" t="s">
        <v>31</v>
      </c>
      <c r="J178" s="51">
        <v>60100000</v>
      </c>
      <c r="K178" s="48" t="str">
        <f>'[1]გეგმა 2024'!C64</f>
        <v xml:space="preserve"> საავტომობილო ტრანსპორტის მომსახურებები</v>
      </c>
      <c r="L178" s="71" t="s">
        <v>269</v>
      </c>
      <c r="M178" s="72" t="s">
        <v>419</v>
      </c>
    </row>
    <row r="179" spans="1:13" ht="157.5">
      <c r="A179" s="46">
        <v>173</v>
      </c>
      <c r="B179" s="47" t="s">
        <v>398</v>
      </c>
      <c r="C179" s="47" t="s">
        <v>209</v>
      </c>
      <c r="D179" s="48">
        <f>1000</f>
        <v>1000</v>
      </c>
      <c r="E179" s="48">
        <f>1000</f>
        <v>1000</v>
      </c>
      <c r="F179" s="48">
        <f t="shared" si="2"/>
        <v>0</v>
      </c>
      <c r="G179" s="48" t="s">
        <v>420</v>
      </c>
      <c r="H179" s="48" t="s">
        <v>147</v>
      </c>
      <c r="I179" s="51" t="s">
        <v>31</v>
      </c>
      <c r="J179" s="51">
        <v>55300000</v>
      </c>
      <c r="K179" s="48" t="str">
        <f>'[1]გეგმა 2024'!C62</f>
        <v xml:space="preserve">რესტორნებისა და კვების საწარმოების მომსახურეობები </v>
      </c>
      <c r="L179" s="71" t="s">
        <v>269</v>
      </c>
      <c r="M179" s="60" t="s">
        <v>421</v>
      </c>
    </row>
    <row r="180" spans="1:13" ht="157.5">
      <c r="A180" s="46">
        <v>174</v>
      </c>
      <c r="B180" s="47" t="s">
        <v>347</v>
      </c>
      <c r="C180" s="47" t="s">
        <v>209</v>
      </c>
      <c r="D180" s="48">
        <f>103.5</f>
        <v>103.5</v>
      </c>
      <c r="E180" s="48">
        <f>103.5</f>
        <v>103.5</v>
      </c>
      <c r="F180" s="48">
        <f t="shared" si="2"/>
        <v>0</v>
      </c>
      <c r="G180" s="48" t="s">
        <v>420</v>
      </c>
      <c r="H180" s="48" t="s">
        <v>147</v>
      </c>
      <c r="I180" s="51" t="s">
        <v>31</v>
      </c>
      <c r="J180" s="51">
        <v>55300000</v>
      </c>
      <c r="K180" s="48" t="str">
        <f>'[1]გეგმა 2024'!C62</f>
        <v xml:space="preserve">რესტორნებისა და კვების საწარმოების მომსახურეობები </v>
      </c>
      <c r="L180" s="71" t="s">
        <v>269</v>
      </c>
      <c r="M180" s="53" t="s">
        <v>422</v>
      </c>
    </row>
    <row r="181" spans="1:13" ht="157.5">
      <c r="A181" s="46">
        <v>175</v>
      </c>
      <c r="B181" s="47" t="s">
        <v>423</v>
      </c>
      <c r="C181" s="47" t="s">
        <v>209</v>
      </c>
      <c r="D181" s="48">
        <f>330</f>
        <v>330</v>
      </c>
      <c r="E181" s="48">
        <f>330</f>
        <v>330</v>
      </c>
      <c r="F181" s="48">
        <f t="shared" si="2"/>
        <v>0</v>
      </c>
      <c r="G181" s="48" t="s">
        <v>420</v>
      </c>
      <c r="H181" s="48" t="s">
        <v>147</v>
      </c>
      <c r="I181" s="51" t="s">
        <v>31</v>
      </c>
      <c r="J181" s="51">
        <v>55300000</v>
      </c>
      <c r="K181" s="48" t="str">
        <f>'[1]გეგმა 2024'!C62</f>
        <v xml:space="preserve">რესტორნებისა და კვების საწარმოების მომსახურეობები </v>
      </c>
      <c r="L181" s="71" t="s">
        <v>269</v>
      </c>
      <c r="M181" s="53" t="s">
        <v>424</v>
      </c>
    </row>
    <row r="182" spans="1:13" ht="157.5">
      <c r="A182" s="21">
        <v>176</v>
      </c>
      <c r="B182" s="2" t="s">
        <v>211</v>
      </c>
      <c r="C182" s="2" t="s">
        <v>209</v>
      </c>
      <c r="D182" s="22">
        <v>600</v>
      </c>
      <c r="E182" s="22"/>
      <c r="F182" s="22">
        <f t="shared" si="2"/>
        <v>600</v>
      </c>
      <c r="G182" s="22" t="s">
        <v>420</v>
      </c>
      <c r="H182" s="22" t="s">
        <v>147</v>
      </c>
      <c r="I182" s="23" t="s">
        <v>31</v>
      </c>
      <c r="J182" s="23">
        <v>55300000</v>
      </c>
      <c r="K182" s="22" t="str">
        <f>'[1]გეგმა 2024'!C62</f>
        <v xml:space="preserve">რესტორნებისა და კვების საწარმოების მომსახურეობები </v>
      </c>
      <c r="L182" s="73" t="s">
        <v>269</v>
      </c>
      <c r="M182" s="24"/>
    </row>
    <row r="183" spans="1:13" ht="157.5">
      <c r="A183" s="46">
        <v>177</v>
      </c>
      <c r="B183" s="47" t="s">
        <v>384</v>
      </c>
      <c r="C183" s="47" t="s">
        <v>207</v>
      </c>
      <c r="D183" s="48">
        <v>7525</v>
      </c>
      <c r="E183" s="48">
        <f>7525</f>
        <v>7525</v>
      </c>
      <c r="F183" s="48">
        <f t="shared" si="2"/>
        <v>0</v>
      </c>
      <c r="G183" s="48" t="s">
        <v>420</v>
      </c>
      <c r="H183" s="48" t="s">
        <v>147</v>
      </c>
      <c r="I183" s="51" t="s">
        <v>31</v>
      </c>
      <c r="J183" s="51">
        <v>55100000</v>
      </c>
      <c r="K183" s="48" t="str">
        <f>'[1]გეგმა 2024'!C59</f>
        <v>სასტუმროს მომსახურება</v>
      </c>
      <c r="L183" s="71" t="s">
        <v>269</v>
      </c>
      <c r="M183" s="72" t="s">
        <v>425</v>
      </c>
    </row>
    <row r="184" spans="1:13" ht="157.5">
      <c r="A184" s="77">
        <v>178</v>
      </c>
      <c r="B184" s="29" t="s">
        <v>164</v>
      </c>
      <c r="C184" s="29" t="s">
        <v>165</v>
      </c>
      <c r="D184" s="78">
        <v>660</v>
      </c>
      <c r="E184" s="78">
        <f>660</f>
        <v>660</v>
      </c>
      <c r="F184" s="78">
        <f t="shared" si="2"/>
        <v>0</v>
      </c>
      <c r="G184" s="78" t="s">
        <v>420</v>
      </c>
      <c r="H184" s="78" t="s">
        <v>147</v>
      </c>
      <c r="I184" s="27" t="s">
        <v>31</v>
      </c>
      <c r="J184" s="27">
        <v>60400000</v>
      </c>
      <c r="K184" s="78" t="str">
        <f>'[1]გეგმა 2024'!C65</f>
        <v>საჰაერო ტრანსპორტის მომსახურებები</v>
      </c>
      <c r="L184" s="79" t="s">
        <v>269</v>
      </c>
      <c r="M184" s="56" t="s">
        <v>426</v>
      </c>
    </row>
    <row r="185" spans="1:13" ht="157.5">
      <c r="A185" s="46">
        <v>179</v>
      </c>
      <c r="B185" s="47" t="s">
        <v>211</v>
      </c>
      <c r="C185" s="47" t="s">
        <v>209</v>
      </c>
      <c r="D185" s="48">
        <f>453.6</f>
        <v>453.6</v>
      </c>
      <c r="E185" s="48">
        <f>453.6</f>
        <v>453.6</v>
      </c>
      <c r="F185" s="48">
        <f t="shared" si="2"/>
        <v>0</v>
      </c>
      <c r="G185" s="48" t="s">
        <v>420</v>
      </c>
      <c r="H185" s="48" t="s">
        <v>147</v>
      </c>
      <c r="I185" s="51" t="s">
        <v>31</v>
      </c>
      <c r="J185" s="51">
        <v>55300000</v>
      </c>
      <c r="K185" s="48" t="str">
        <f>'[1]გეგმა 2024'!C62</f>
        <v xml:space="preserve">რესტორნებისა და კვების საწარმოების მომსახურეობები </v>
      </c>
      <c r="L185" s="71" t="s">
        <v>269</v>
      </c>
      <c r="M185" s="53" t="s">
        <v>427</v>
      </c>
    </row>
    <row r="186" spans="1:13" ht="157.5">
      <c r="A186" s="46">
        <v>180</v>
      </c>
      <c r="B186" s="47" t="s">
        <v>428</v>
      </c>
      <c r="C186" s="47" t="s">
        <v>209</v>
      </c>
      <c r="D186" s="48">
        <f>1320</f>
        <v>1320</v>
      </c>
      <c r="E186" s="48">
        <f>1320</f>
        <v>1320</v>
      </c>
      <c r="F186" s="48">
        <f t="shared" si="2"/>
        <v>0</v>
      </c>
      <c r="G186" s="48" t="s">
        <v>420</v>
      </c>
      <c r="H186" s="48" t="s">
        <v>147</v>
      </c>
      <c r="I186" s="51" t="s">
        <v>31</v>
      </c>
      <c r="J186" s="51">
        <v>55300000</v>
      </c>
      <c r="K186" s="48" t="str">
        <f>'[1]გეგმა 2024'!C62</f>
        <v xml:space="preserve">რესტორნებისა და კვების საწარმოების მომსახურეობები </v>
      </c>
      <c r="L186" s="71" t="s">
        <v>269</v>
      </c>
      <c r="M186" s="53" t="s">
        <v>429</v>
      </c>
    </row>
    <row r="187" spans="1:13" ht="157.5">
      <c r="A187" s="46">
        <v>181</v>
      </c>
      <c r="B187" s="47" t="s">
        <v>428</v>
      </c>
      <c r="C187" s="47" t="s">
        <v>273</v>
      </c>
      <c r="D187" s="48">
        <v>600</v>
      </c>
      <c r="E187" s="48">
        <f>600</f>
        <v>600</v>
      </c>
      <c r="F187" s="48">
        <f t="shared" si="2"/>
        <v>0</v>
      </c>
      <c r="G187" s="48" t="s">
        <v>420</v>
      </c>
      <c r="H187" s="48" t="s">
        <v>147</v>
      </c>
      <c r="I187" s="51" t="s">
        <v>31</v>
      </c>
      <c r="J187" s="51">
        <v>55400000</v>
      </c>
      <c r="K187" s="48" t="str">
        <f>'[1]გეგმა 2024'!C63</f>
        <v>სასმელების მიტანის მომსახურება</v>
      </c>
      <c r="L187" s="71" t="s">
        <v>269</v>
      </c>
      <c r="M187" s="53" t="s">
        <v>430</v>
      </c>
    </row>
    <row r="188" spans="1:13" ht="157.5">
      <c r="A188" s="46">
        <v>182</v>
      </c>
      <c r="B188" s="47" t="s">
        <v>271</v>
      </c>
      <c r="C188" s="47" t="s">
        <v>209</v>
      </c>
      <c r="D188" s="48">
        <f>1340</f>
        <v>1340</v>
      </c>
      <c r="E188" s="48">
        <f>1340</f>
        <v>1340</v>
      </c>
      <c r="F188" s="48">
        <f t="shared" si="2"/>
        <v>0</v>
      </c>
      <c r="G188" s="48" t="s">
        <v>420</v>
      </c>
      <c r="H188" s="48" t="s">
        <v>147</v>
      </c>
      <c r="I188" s="51" t="s">
        <v>31</v>
      </c>
      <c r="J188" s="51">
        <v>55300000</v>
      </c>
      <c r="K188" s="48" t="str">
        <f>'[1]გეგმა 2024'!C62</f>
        <v xml:space="preserve">რესტორნებისა და კვების საწარმოების მომსახურეობები </v>
      </c>
      <c r="L188" s="71" t="s">
        <v>269</v>
      </c>
      <c r="M188" s="53" t="s">
        <v>431</v>
      </c>
    </row>
    <row r="189" spans="1:13" ht="157.5">
      <c r="A189" s="46">
        <v>183</v>
      </c>
      <c r="B189" s="47" t="s">
        <v>312</v>
      </c>
      <c r="C189" s="47" t="s">
        <v>209</v>
      </c>
      <c r="D189" s="48">
        <f>1496.36</f>
        <v>1496.36</v>
      </c>
      <c r="E189" s="48">
        <f>1496.36</f>
        <v>1496.36</v>
      </c>
      <c r="F189" s="48">
        <f t="shared" si="2"/>
        <v>0</v>
      </c>
      <c r="G189" s="48" t="s">
        <v>420</v>
      </c>
      <c r="H189" s="48" t="s">
        <v>147</v>
      </c>
      <c r="I189" s="51" t="s">
        <v>31</v>
      </c>
      <c r="J189" s="51">
        <v>55300000</v>
      </c>
      <c r="K189" s="48" t="str">
        <f>'[1]გეგმა 2024'!C62</f>
        <v xml:space="preserve">რესტორნებისა და კვების საწარმოების მომსახურეობები </v>
      </c>
      <c r="L189" s="71" t="s">
        <v>269</v>
      </c>
      <c r="M189" s="53" t="s">
        <v>432</v>
      </c>
    </row>
    <row r="190" spans="1:13" ht="157.5">
      <c r="A190" s="46">
        <v>184</v>
      </c>
      <c r="B190" s="47" t="s">
        <v>292</v>
      </c>
      <c r="C190" s="47" t="s">
        <v>209</v>
      </c>
      <c r="D190" s="48">
        <f>1497.42</f>
        <v>1497.42</v>
      </c>
      <c r="E190" s="48">
        <f>1497.42</f>
        <v>1497.42</v>
      </c>
      <c r="F190" s="48">
        <f t="shared" si="2"/>
        <v>0</v>
      </c>
      <c r="G190" s="48" t="s">
        <v>420</v>
      </c>
      <c r="H190" s="48" t="s">
        <v>147</v>
      </c>
      <c r="I190" s="51" t="s">
        <v>31</v>
      </c>
      <c r="J190" s="51">
        <v>55300000</v>
      </c>
      <c r="K190" s="48" t="str">
        <f>'[1]გეგმა 2024'!C62</f>
        <v xml:space="preserve">რესტორნებისა და კვების საწარმოების მომსახურეობები </v>
      </c>
      <c r="L190" s="71" t="s">
        <v>269</v>
      </c>
      <c r="M190" s="53" t="s">
        <v>433</v>
      </c>
    </row>
    <row r="191" spans="1:13" ht="157.5">
      <c r="A191" s="46">
        <v>185</v>
      </c>
      <c r="B191" s="47" t="s">
        <v>434</v>
      </c>
      <c r="C191" s="47" t="s">
        <v>435</v>
      </c>
      <c r="D191" s="48">
        <v>294</v>
      </c>
      <c r="E191" s="48">
        <f>294</f>
        <v>294</v>
      </c>
      <c r="F191" s="48">
        <f t="shared" si="2"/>
        <v>0</v>
      </c>
      <c r="G191" s="48" t="s">
        <v>436</v>
      </c>
      <c r="H191" s="48" t="s">
        <v>147</v>
      </c>
      <c r="I191" s="51" t="s">
        <v>31</v>
      </c>
      <c r="J191" s="51">
        <v>41100000</v>
      </c>
      <c r="K191" s="48" t="str">
        <f>'[1]გეგმა 2024'!C41</f>
        <v>სასმელი წყალი</v>
      </c>
      <c r="L191" s="71" t="s">
        <v>269</v>
      </c>
      <c r="M191" s="53" t="s">
        <v>437</v>
      </c>
    </row>
    <row r="192" spans="1:13" ht="303.75">
      <c r="A192" s="46">
        <v>186</v>
      </c>
      <c r="B192" s="47" t="s">
        <v>438</v>
      </c>
      <c r="C192" s="47" t="s">
        <v>439</v>
      </c>
      <c r="D192" s="48">
        <f>10103.53+40889.09</f>
        <v>50992.619999999995</v>
      </c>
      <c r="E192" s="48">
        <f>10103.53+40889.09</f>
        <v>50992.619999999995</v>
      </c>
      <c r="F192" s="48">
        <f t="shared" ref="F192:F250" si="3">D192-E192</f>
        <v>0</v>
      </c>
      <c r="G192" s="48" t="s">
        <v>436</v>
      </c>
      <c r="H192" s="48" t="s">
        <v>147</v>
      </c>
      <c r="I192" s="51" t="s">
        <v>31</v>
      </c>
      <c r="J192" s="51">
        <v>39100000</v>
      </c>
      <c r="K192" s="48" t="str">
        <f>'[1]გეგმა 2024 (საკ. შ.)'!C7</f>
        <v>სტენდები (საკ.შ.)</v>
      </c>
      <c r="L192" s="54" t="s">
        <v>108</v>
      </c>
      <c r="M192" s="53" t="s">
        <v>440</v>
      </c>
    </row>
    <row r="193" spans="1:13" ht="157.5">
      <c r="A193" s="46">
        <v>187</v>
      </c>
      <c r="B193" s="47" t="s">
        <v>441</v>
      </c>
      <c r="C193" s="47" t="s">
        <v>209</v>
      </c>
      <c r="D193" s="48">
        <f>2200</f>
        <v>2200</v>
      </c>
      <c r="E193" s="48">
        <f>2200</f>
        <v>2200</v>
      </c>
      <c r="F193" s="48">
        <f t="shared" si="3"/>
        <v>0</v>
      </c>
      <c r="G193" s="48" t="s">
        <v>436</v>
      </c>
      <c r="H193" s="48" t="s">
        <v>147</v>
      </c>
      <c r="I193" s="51" t="s">
        <v>31</v>
      </c>
      <c r="J193" s="51">
        <v>55300000</v>
      </c>
      <c r="K193" s="48" t="str">
        <f>'[1]გეგმა 2024'!C62</f>
        <v xml:space="preserve">რესტორნებისა და კვების საწარმოების მომსახურეობები </v>
      </c>
      <c r="L193" s="71" t="s">
        <v>269</v>
      </c>
      <c r="M193" s="53" t="s">
        <v>442</v>
      </c>
    </row>
    <row r="194" spans="1:13" ht="157.5">
      <c r="A194" s="46">
        <v>188</v>
      </c>
      <c r="B194" s="47" t="s">
        <v>302</v>
      </c>
      <c r="C194" s="47" t="s">
        <v>209</v>
      </c>
      <c r="D194" s="48">
        <f>2351.74</f>
        <v>2351.7399999999998</v>
      </c>
      <c r="E194" s="48">
        <f>2351.74</f>
        <v>2351.7399999999998</v>
      </c>
      <c r="F194" s="48">
        <f t="shared" si="3"/>
        <v>0</v>
      </c>
      <c r="G194" s="48" t="s">
        <v>436</v>
      </c>
      <c r="H194" s="48" t="s">
        <v>147</v>
      </c>
      <c r="I194" s="51" t="s">
        <v>31</v>
      </c>
      <c r="J194" s="51">
        <v>55300000</v>
      </c>
      <c r="K194" s="48" t="str">
        <f>'[1]გეგმა 2024'!C62</f>
        <v xml:space="preserve">რესტორნებისა და კვების საწარმოების მომსახურეობები </v>
      </c>
      <c r="L194" s="71" t="s">
        <v>269</v>
      </c>
      <c r="M194" s="53" t="s">
        <v>443</v>
      </c>
    </row>
    <row r="195" spans="1:13" ht="157.5">
      <c r="A195" s="46">
        <v>189</v>
      </c>
      <c r="B195" s="47" t="s">
        <v>363</v>
      </c>
      <c r="C195" s="47" t="s">
        <v>209</v>
      </c>
      <c r="D195" s="48">
        <f>1275.58</f>
        <v>1275.58</v>
      </c>
      <c r="E195" s="48">
        <f>1275.58</f>
        <v>1275.58</v>
      </c>
      <c r="F195" s="48">
        <f t="shared" si="3"/>
        <v>0</v>
      </c>
      <c r="G195" s="48" t="s">
        <v>436</v>
      </c>
      <c r="H195" s="48" t="s">
        <v>147</v>
      </c>
      <c r="I195" s="51" t="s">
        <v>31</v>
      </c>
      <c r="J195" s="51">
        <v>55300000</v>
      </c>
      <c r="K195" s="48" t="str">
        <f>'[1]გეგმა 2024'!C62</f>
        <v xml:space="preserve">რესტორნებისა და კვების საწარმოების მომსახურეობები </v>
      </c>
      <c r="L195" s="71" t="s">
        <v>269</v>
      </c>
      <c r="M195" s="53" t="s">
        <v>444</v>
      </c>
    </row>
    <row r="196" spans="1:13" ht="157.5">
      <c r="A196" s="46">
        <v>190</v>
      </c>
      <c r="B196" s="47" t="s">
        <v>384</v>
      </c>
      <c r="C196" s="47" t="s">
        <v>207</v>
      </c>
      <c r="D196" s="48">
        <f>2761.79</f>
        <v>2761.79</v>
      </c>
      <c r="E196" s="48">
        <f>2761.79</f>
        <v>2761.79</v>
      </c>
      <c r="F196" s="48">
        <f t="shared" si="3"/>
        <v>0</v>
      </c>
      <c r="G196" s="48" t="s">
        <v>436</v>
      </c>
      <c r="H196" s="48" t="s">
        <v>147</v>
      </c>
      <c r="I196" s="51" t="s">
        <v>31</v>
      </c>
      <c r="J196" s="51">
        <v>55300000</v>
      </c>
      <c r="K196" s="48" t="str">
        <f>'[1]გეგმა 2024'!C62</f>
        <v xml:space="preserve">რესტორნებისა და კვების საწარმოების მომსახურეობები </v>
      </c>
      <c r="L196" s="54" t="s">
        <v>269</v>
      </c>
      <c r="M196" s="53" t="s">
        <v>445</v>
      </c>
    </row>
    <row r="197" spans="1:13" ht="157.5">
      <c r="A197" s="46">
        <v>191</v>
      </c>
      <c r="B197" s="47" t="s">
        <v>300</v>
      </c>
      <c r="C197" s="47" t="s">
        <v>209</v>
      </c>
      <c r="D197" s="48">
        <v>800</v>
      </c>
      <c r="E197" s="48">
        <f>800</f>
        <v>800</v>
      </c>
      <c r="F197" s="48">
        <f t="shared" si="3"/>
        <v>0</v>
      </c>
      <c r="G197" s="48" t="s">
        <v>446</v>
      </c>
      <c r="H197" s="48" t="s">
        <v>147</v>
      </c>
      <c r="I197" s="51" t="s">
        <v>31</v>
      </c>
      <c r="J197" s="51">
        <v>55300000</v>
      </c>
      <c r="K197" s="48" t="str">
        <f>'[1]გეგმა 2024'!C62</f>
        <v xml:space="preserve">რესტორნებისა და კვების საწარმოების მომსახურეობები </v>
      </c>
      <c r="L197" s="54" t="s">
        <v>269</v>
      </c>
      <c r="M197" s="53" t="s">
        <v>447</v>
      </c>
    </row>
    <row r="198" spans="1:13" ht="157.5">
      <c r="A198" s="46">
        <v>192</v>
      </c>
      <c r="B198" s="47" t="s">
        <v>403</v>
      </c>
      <c r="C198" s="47" t="s">
        <v>209</v>
      </c>
      <c r="D198" s="48">
        <f>42.9</f>
        <v>42.9</v>
      </c>
      <c r="E198" s="48">
        <f>42.9</f>
        <v>42.9</v>
      </c>
      <c r="F198" s="48">
        <f t="shared" si="3"/>
        <v>0</v>
      </c>
      <c r="G198" s="48" t="s">
        <v>446</v>
      </c>
      <c r="H198" s="48" t="s">
        <v>147</v>
      </c>
      <c r="I198" s="51" t="s">
        <v>31</v>
      </c>
      <c r="J198" s="51">
        <v>55300000</v>
      </c>
      <c r="K198" s="48" t="str">
        <f>'[1]გეგმა 2024'!C62</f>
        <v xml:space="preserve">რესტორნებისა და კვების საწარმოების მომსახურეობები </v>
      </c>
      <c r="L198" s="54" t="s">
        <v>269</v>
      </c>
      <c r="M198" s="53" t="s">
        <v>448</v>
      </c>
    </row>
    <row r="199" spans="1:13" ht="157.5">
      <c r="A199" s="46">
        <v>195</v>
      </c>
      <c r="B199" s="47" t="s">
        <v>450</v>
      </c>
      <c r="C199" s="47" t="s">
        <v>165</v>
      </c>
      <c r="D199" s="48">
        <v>450</v>
      </c>
      <c r="E199" s="48">
        <f>450</f>
        <v>450</v>
      </c>
      <c r="F199" s="48">
        <f t="shared" si="3"/>
        <v>0</v>
      </c>
      <c r="G199" s="48" t="s">
        <v>446</v>
      </c>
      <c r="H199" s="48" t="s">
        <v>147</v>
      </c>
      <c r="I199" s="51" t="s">
        <v>31</v>
      </c>
      <c r="J199" s="51">
        <v>60400000</v>
      </c>
      <c r="K199" s="48" t="str">
        <f>'[1]გეგმა 2024'!C65</f>
        <v>საჰაერო ტრანსპორტის მომსახურებები</v>
      </c>
      <c r="L199" s="54" t="s">
        <v>269</v>
      </c>
      <c r="M199" s="68" t="s">
        <v>451</v>
      </c>
    </row>
    <row r="200" spans="1:13" ht="157.5">
      <c r="A200" s="46" t="s">
        <v>452</v>
      </c>
      <c r="B200" s="47" t="s">
        <v>300</v>
      </c>
      <c r="C200" s="47" t="s">
        <v>453</v>
      </c>
      <c r="D200" s="48">
        <v>210.08</v>
      </c>
      <c r="E200" s="48">
        <f>210.08</f>
        <v>210.08</v>
      </c>
      <c r="F200" s="48">
        <f t="shared" si="3"/>
        <v>0</v>
      </c>
      <c r="G200" s="48" t="s">
        <v>446</v>
      </c>
      <c r="H200" s="48" t="s">
        <v>147</v>
      </c>
      <c r="I200" s="51" t="s">
        <v>31</v>
      </c>
      <c r="J200" s="51">
        <v>55300000</v>
      </c>
      <c r="K200" s="48" t="str">
        <f>'[1]გეგმა 2024'!C62</f>
        <v xml:space="preserve">რესტორნებისა და კვების საწარმოების მომსახურეობები </v>
      </c>
      <c r="L200" s="54" t="s">
        <v>269</v>
      </c>
      <c r="M200" s="68" t="s">
        <v>454</v>
      </c>
    </row>
    <row r="201" spans="1:13" ht="303.75">
      <c r="A201" s="46">
        <v>197</v>
      </c>
      <c r="B201" s="80" t="s">
        <v>457</v>
      </c>
      <c r="C201" s="47" t="s">
        <v>458</v>
      </c>
      <c r="D201" s="48">
        <v>152116.28</v>
      </c>
      <c r="E201" s="48">
        <v>152116.28</v>
      </c>
      <c r="F201" s="48">
        <f t="shared" si="3"/>
        <v>0</v>
      </c>
      <c r="G201" s="48" t="s">
        <v>459</v>
      </c>
      <c r="H201" s="48" t="s">
        <v>147</v>
      </c>
      <c r="I201" s="51" t="s">
        <v>31</v>
      </c>
      <c r="J201" s="51">
        <v>39100000</v>
      </c>
      <c r="K201" s="48" t="str">
        <f>'[1]გეგმა 2024 (საკ. შ.)'!C7</f>
        <v>სტენდები (საკ.შ.)</v>
      </c>
      <c r="L201" s="54" t="s">
        <v>108</v>
      </c>
      <c r="M201" s="53" t="s">
        <v>460</v>
      </c>
    </row>
    <row r="202" spans="1:13" ht="303.75">
      <c r="A202" s="46">
        <v>197</v>
      </c>
      <c r="B202" s="80" t="s">
        <v>457</v>
      </c>
      <c r="C202" s="47" t="s">
        <v>458</v>
      </c>
      <c r="D202" s="48">
        <f>62904.34+104338.52</f>
        <v>167242.85999999999</v>
      </c>
      <c r="E202" s="48">
        <f>62904.34+104338.52</f>
        <v>167242.85999999999</v>
      </c>
      <c r="F202" s="48">
        <f t="shared" si="3"/>
        <v>0</v>
      </c>
      <c r="G202" s="48" t="s">
        <v>459</v>
      </c>
      <c r="H202" s="48" t="s">
        <v>147</v>
      </c>
      <c r="I202" s="51" t="s">
        <v>31</v>
      </c>
      <c r="J202" s="51">
        <v>39100000</v>
      </c>
      <c r="K202" s="48" t="str">
        <f>'[1]გეგმა 2024'!C36</f>
        <v>ავეჯი (სტენდები)</v>
      </c>
      <c r="L202" s="54" t="s">
        <v>108</v>
      </c>
      <c r="M202" s="53" t="s">
        <v>460</v>
      </c>
    </row>
    <row r="203" spans="1:13" ht="157.5">
      <c r="A203" s="46">
        <v>198</v>
      </c>
      <c r="B203" s="47" t="s">
        <v>461</v>
      </c>
      <c r="C203" s="47" t="s">
        <v>240</v>
      </c>
      <c r="D203" s="48">
        <v>1100</v>
      </c>
      <c r="E203" s="48">
        <f>1100</f>
        <v>1100</v>
      </c>
      <c r="F203" s="48">
        <f t="shared" si="3"/>
        <v>0</v>
      </c>
      <c r="G203" s="48" t="s">
        <v>459</v>
      </c>
      <c r="H203" s="48" t="s">
        <v>147</v>
      </c>
      <c r="I203" s="51" t="s">
        <v>31</v>
      </c>
      <c r="J203" s="51">
        <v>63500000</v>
      </c>
      <c r="K203" s="48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203" s="53" t="s">
        <v>166</v>
      </c>
      <c r="M203" s="53" t="s">
        <v>462</v>
      </c>
    </row>
    <row r="204" spans="1:13" ht="157.5">
      <c r="A204" s="46">
        <v>199</v>
      </c>
      <c r="B204" s="47" t="s">
        <v>461</v>
      </c>
      <c r="C204" s="47" t="s">
        <v>188</v>
      </c>
      <c r="D204" s="48">
        <v>850</v>
      </c>
      <c r="E204" s="48">
        <f>850</f>
        <v>850</v>
      </c>
      <c r="F204" s="48">
        <f t="shared" si="3"/>
        <v>0</v>
      </c>
      <c r="G204" s="48" t="s">
        <v>459</v>
      </c>
      <c r="H204" s="48" t="s">
        <v>147</v>
      </c>
      <c r="I204" s="51" t="s">
        <v>31</v>
      </c>
      <c r="J204" s="51">
        <v>60100000</v>
      </c>
      <c r="K204" s="48" t="str">
        <f>'[1]გეგმა 2024'!C64</f>
        <v xml:space="preserve"> საავტომობილო ტრანსპორტის მომსახურებები</v>
      </c>
      <c r="L204" s="53" t="s">
        <v>166</v>
      </c>
      <c r="M204" s="53" t="s">
        <v>463</v>
      </c>
    </row>
    <row r="205" spans="1:13" ht="157.5">
      <c r="A205" s="46">
        <v>200</v>
      </c>
      <c r="B205" s="47" t="s">
        <v>363</v>
      </c>
      <c r="C205" s="47" t="s">
        <v>207</v>
      </c>
      <c r="D205" s="48">
        <v>3120.6</v>
      </c>
      <c r="E205" s="48">
        <f>3120.6</f>
        <v>3120.6</v>
      </c>
      <c r="F205" s="48">
        <f t="shared" si="3"/>
        <v>0</v>
      </c>
      <c r="G205" s="48" t="s">
        <v>459</v>
      </c>
      <c r="H205" s="48" t="s">
        <v>147</v>
      </c>
      <c r="I205" s="51" t="s">
        <v>31</v>
      </c>
      <c r="J205" s="51">
        <v>55100000</v>
      </c>
      <c r="K205" s="48" t="str">
        <f>'[1]გეგმა 2024'!C59</f>
        <v>სასტუმროს მომსახურება</v>
      </c>
      <c r="L205" s="53" t="s">
        <v>166</v>
      </c>
      <c r="M205" s="68" t="s">
        <v>464</v>
      </c>
    </row>
    <row r="206" spans="1:13" ht="157.5">
      <c r="A206" s="46">
        <v>201</v>
      </c>
      <c r="B206" s="47" t="s">
        <v>211</v>
      </c>
      <c r="C206" s="47" t="s">
        <v>209</v>
      </c>
      <c r="D206" s="48">
        <f>239.68</f>
        <v>239.68</v>
      </c>
      <c r="E206" s="48">
        <f>239.68</f>
        <v>239.68</v>
      </c>
      <c r="F206" s="48">
        <f t="shared" si="3"/>
        <v>0</v>
      </c>
      <c r="G206" s="48" t="s">
        <v>459</v>
      </c>
      <c r="H206" s="48" t="s">
        <v>147</v>
      </c>
      <c r="I206" s="51" t="s">
        <v>31</v>
      </c>
      <c r="J206" s="51">
        <v>55100000</v>
      </c>
      <c r="K206" s="48" t="str">
        <f>'[1]გეგმა 2024'!C59</f>
        <v>სასტუმროს მომსახურება</v>
      </c>
      <c r="L206" s="53" t="s">
        <v>166</v>
      </c>
      <c r="M206" s="53" t="s">
        <v>465</v>
      </c>
    </row>
    <row r="207" spans="1:13" ht="157.5">
      <c r="A207" s="46">
        <v>202</v>
      </c>
      <c r="B207" s="47" t="s">
        <v>466</v>
      </c>
      <c r="C207" s="47" t="s">
        <v>467</v>
      </c>
      <c r="D207" s="48">
        <v>1665</v>
      </c>
      <c r="E207" s="48">
        <f>1665</f>
        <v>1665</v>
      </c>
      <c r="F207" s="48">
        <f t="shared" si="3"/>
        <v>0</v>
      </c>
      <c r="G207" s="48" t="s">
        <v>459</v>
      </c>
      <c r="H207" s="48" t="s">
        <v>147</v>
      </c>
      <c r="I207" s="51" t="s">
        <v>31</v>
      </c>
      <c r="J207" s="51">
        <v>39500000</v>
      </c>
      <c r="K207" s="48" t="str">
        <f>'[1]გეგმა 2024'!C38</f>
        <v>ქსოვილის ნივთები</v>
      </c>
      <c r="L207" s="53" t="s">
        <v>166</v>
      </c>
      <c r="M207" s="68" t="s">
        <v>468</v>
      </c>
    </row>
    <row r="208" spans="1:13" ht="157.5">
      <c r="A208" s="46">
        <v>203</v>
      </c>
      <c r="B208" s="47" t="s">
        <v>255</v>
      </c>
      <c r="C208" s="47" t="s">
        <v>209</v>
      </c>
      <c r="D208" s="48">
        <f>477</f>
        <v>477</v>
      </c>
      <c r="E208" s="48">
        <f>477</f>
        <v>477</v>
      </c>
      <c r="F208" s="48">
        <f t="shared" si="3"/>
        <v>0</v>
      </c>
      <c r="G208" s="48" t="s">
        <v>459</v>
      </c>
      <c r="H208" s="48" t="s">
        <v>147</v>
      </c>
      <c r="I208" s="51" t="s">
        <v>31</v>
      </c>
      <c r="J208" s="51">
        <v>55300000</v>
      </c>
      <c r="K208" s="48" t="str">
        <f>'[1]გეგმა 2024'!C62</f>
        <v xml:space="preserve">რესტორნებისა და კვების საწარმოების მომსახურეობები </v>
      </c>
      <c r="L208" s="53" t="s">
        <v>166</v>
      </c>
      <c r="M208" s="53" t="s">
        <v>469</v>
      </c>
    </row>
    <row r="209" spans="1:13" ht="157.5">
      <c r="A209" s="46">
        <v>204</v>
      </c>
      <c r="B209" s="47" t="s">
        <v>200</v>
      </c>
      <c r="C209" s="47" t="s">
        <v>165</v>
      </c>
      <c r="D209" s="48">
        <v>5200</v>
      </c>
      <c r="E209" s="48">
        <v>5200</v>
      </c>
      <c r="F209" s="48">
        <f t="shared" si="3"/>
        <v>0</v>
      </c>
      <c r="G209" s="48" t="s">
        <v>459</v>
      </c>
      <c r="H209" s="48" t="s">
        <v>147</v>
      </c>
      <c r="I209" s="51" t="s">
        <v>31</v>
      </c>
      <c r="J209" s="51">
        <v>60400000</v>
      </c>
      <c r="K209" s="48" t="str">
        <f>'[1]გეგმა 2024'!C65</f>
        <v>საჰაერო ტრანსპორტის მომსახურებები</v>
      </c>
      <c r="L209" s="53" t="s">
        <v>166</v>
      </c>
      <c r="M209" s="53" t="s">
        <v>470</v>
      </c>
    </row>
    <row r="210" spans="1:13" ht="157.5">
      <c r="A210" s="46">
        <v>205</v>
      </c>
      <c r="B210" s="47" t="s">
        <v>260</v>
      </c>
      <c r="C210" s="47" t="s">
        <v>209</v>
      </c>
      <c r="D210" s="48">
        <f>197.06</f>
        <v>197.06</v>
      </c>
      <c r="E210" s="48">
        <f>197.06</f>
        <v>197.06</v>
      </c>
      <c r="F210" s="48">
        <f t="shared" si="3"/>
        <v>0</v>
      </c>
      <c r="G210" s="48" t="s">
        <v>471</v>
      </c>
      <c r="H210" s="48" t="s">
        <v>147</v>
      </c>
      <c r="I210" s="51" t="s">
        <v>31</v>
      </c>
      <c r="J210" s="51">
        <v>55300000</v>
      </c>
      <c r="K210" s="48" t="str">
        <f>'[1]გეგმა 2024'!C62</f>
        <v xml:space="preserve">რესტორნებისა და კვების საწარმოების მომსახურეობები </v>
      </c>
      <c r="L210" s="53" t="s">
        <v>166</v>
      </c>
      <c r="M210" s="53" t="s">
        <v>472</v>
      </c>
    </row>
    <row r="211" spans="1:13" ht="157.5">
      <c r="A211" s="46">
        <v>206</v>
      </c>
      <c r="B211" s="47" t="s">
        <v>473</v>
      </c>
      <c r="C211" s="47" t="s">
        <v>209</v>
      </c>
      <c r="D211" s="48">
        <f>199.42</f>
        <v>199.42</v>
      </c>
      <c r="E211" s="48">
        <f>199.42</f>
        <v>199.42</v>
      </c>
      <c r="F211" s="48">
        <f t="shared" si="3"/>
        <v>0</v>
      </c>
      <c r="G211" s="48" t="s">
        <v>471</v>
      </c>
      <c r="H211" s="48" t="s">
        <v>147</v>
      </c>
      <c r="I211" s="51" t="s">
        <v>31</v>
      </c>
      <c r="J211" s="51">
        <v>55300000</v>
      </c>
      <c r="K211" s="48" t="str">
        <f>'[1]გეგმა 2024'!C62</f>
        <v xml:space="preserve">რესტორნებისა და კვების საწარმოების მომსახურეობები </v>
      </c>
      <c r="L211" s="53" t="s">
        <v>166</v>
      </c>
      <c r="M211" s="68" t="s">
        <v>474</v>
      </c>
    </row>
    <row r="212" spans="1:13" ht="157.5">
      <c r="A212" s="46">
        <v>207</v>
      </c>
      <c r="B212" s="47" t="s">
        <v>475</v>
      </c>
      <c r="C212" s="47" t="s">
        <v>209</v>
      </c>
      <c r="D212" s="48">
        <v>204.14</v>
      </c>
      <c r="E212" s="48">
        <f>204.14</f>
        <v>204.14</v>
      </c>
      <c r="F212" s="48">
        <f t="shared" si="3"/>
        <v>0</v>
      </c>
      <c r="G212" s="48" t="s">
        <v>471</v>
      </c>
      <c r="H212" s="48" t="s">
        <v>147</v>
      </c>
      <c r="I212" s="51" t="s">
        <v>31</v>
      </c>
      <c r="J212" s="51">
        <v>55300000</v>
      </c>
      <c r="K212" s="48" t="str">
        <f>'[1]გეგმა 2024'!C62</f>
        <v xml:space="preserve">რესტორნებისა და კვების საწარმოების მომსახურეობები </v>
      </c>
      <c r="L212" s="53" t="s">
        <v>166</v>
      </c>
      <c r="M212" s="53" t="s">
        <v>476</v>
      </c>
    </row>
    <row r="213" spans="1:13" ht="157.5">
      <c r="A213" s="46">
        <v>208</v>
      </c>
      <c r="B213" s="47" t="s">
        <v>318</v>
      </c>
      <c r="C213" s="47" t="s">
        <v>209</v>
      </c>
      <c r="D213" s="48">
        <f>199.1</f>
        <v>199.1</v>
      </c>
      <c r="E213" s="48">
        <f>199.1</f>
        <v>199.1</v>
      </c>
      <c r="F213" s="48">
        <f t="shared" si="3"/>
        <v>0</v>
      </c>
      <c r="G213" s="48" t="s">
        <v>471</v>
      </c>
      <c r="H213" s="48" t="s">
        <v>147</v>
      </c>
      <c r="I213" s="51" t="s">
        <v>31</v>
      </c>
      <c r="J213" s="51">
        <v>55300000</v>
      </c>
      <c r="K213" s="48" t="str">
        <f>'[1]გეგმა 2024'!C62</f>
        <v xml:space="preserve">რესტორნებისა და კვების საწარმოების მომსახურეობები </v>
      </c>
      <c r="L213" s="53" t="s">
        <v>166</v>
      </c>
      <c r="M213" s="72" t="s">
        <v>477</v>
      </c>
    </row>
    <row r="214" spans="1:13" ht="157.5">
      <c r="A214" s="46">
        <v>209</v>
      </c>
      <c r="B214" s="47" t="s">
        <v>302</v>
      </c>
      <c r="C214" s="47" t="s">
        <v>209</v>
      </c>
      <c r="D214" s="48">
        <f>195.88</f>
        <v>195.88</v>
      </c>
      <c r="E214" s="48">
        <f>195.88</f>
        <v>195.88</v>
      </c>
      <c r="F214" s="48">
        <f t="shared" si="3"/>
        <v>0</v>
      </c>
      <c r="G214" s="48" t="s">
        <v>471</v>
      </c>
      <c r="H214" s="48" t="s">
        <v>147</v>
      </c>
      <c r="I214" s="51" t="s">
        <v>31</v>
      </c>
      <c r="J214" s="51">
        <v>55300000</v>
      </c>
      <c r="K214" s="48" t="str">
        <f>'[1]გეგმა 2024'!C62</f>
        <v xml:space="preserve">რესტორნებისა და კვების საწარმოების მომსახურეობები </v>
      </c>
      <c r="L214" s="53" t="s">
        <v>166</v>
      </c>
      <c r="M214" s="53" t="s">
        <v>478</v>
      </c>
    </row>
    <row r="215" spans="1:13" ht="157.5">
      <c r="A215" s="46">
        <v>210</v>
      </c>
      <c r="B215" s="47" t="s">
        <v>286</v>
      </c>
      <c r="C215" s="81" t="s">
        <v>209</v>
      </c>
      <c r="D215" s="48">
        <f>198</f>
        <v>198</v>
      </c>
      <c r="E215" s="48">
        <f>198</f>
        <v>198</v>
      </c>
      <c r="F215" s="48">
        <f t="shared" si="3"/>
        <v>0</v>
      </c>
      <c r="G215" s="48" t="s">
        <v>479</v>
      </c>
      <c r="H215" s="48" t="s">
        <v>147</v>
      </c>
      <c r="I215" s="51" t="s">
        <v>31</v>
      </c>
      <c r="J215" s="51">
        <v>55300000</v>
      </c>
      <c r="K215" s="48" t="str">
        <f>'[1]გეგმა 2024'!C62</f>
        <v xml:space="preserve">რესტორნებისა და კვების საწარმოების მომსახურეობები </v>
      </c>
      <c r="L215" s="53" t="s">
        <v>166</v>
      </c>
      <c r="M215" s="68" t="s">
        <v>480</v>
      </c>
    </row>
    <row r="216" spans="1:13" ht="157.5">
      <c r="A216" s="46">
        <v>211</v>
      </c>
      <c r="B216" s="47" t="s">
        <v>250</v>
      </c>
      <c r="C216" s="81" t="s">
        <v>209</v>
      </c>
      <c r="D216" s="48">
        <f>179.36</f>
        <v>179.36</v>
      </c>
      <c r="E216" s="48">
        <f>179.36</f>
        <v>179.36</v>
      </c>
      <c r="F216" s="48">
        <f t="shared" si="3"/>
        <v>0</v>
      </c>
      <c r="G216" s="48" t="s">
        <v>479</v>
      </c>
      <c r="H216" s="48" t="s">
        <v>147</v>
      </c>
      <c r="I216" s="51" t="s">
        <v>31</v>
      </c>
      <c r="J216" s="51">
        <v>55300000</v>
      </c>
      <c r="K216" s="48" t="str">
        <f>'[1]გეგმა 2024'!C62</f>
        <v xml:space="preserve">რესტორნებისა და კვების საწარმოების მომსახურეობები </v>
      </c>
      <c r="L216" s="53" t="s">
        <v>166</v>
      </c>
      <c r="M216" s="68" t="s">
        <v>481</v>
      </c>
    </row>
    <row r="217" spans="1:13" ht="157.5">
      <c r="A217" s="46">
        <v>212</v>
      </c>
      <c r="B217" s="47" t="s">
        <v>164</v>
      </c>
      <c r="C217" s="47" t="s">
        <v>165</v>
      </c>
      <c r="D217" s="48">
        <v>3976</v>
      </c>
      <c r="E217" s="48">
        <f>3976</f>
        <v>3976</v>
      </c>
      <c r="F217" s="48">
        <f t="shared" si="3"/>
        <v>0</v>
      </c>
      <c r="G217" s="48" t="s">
        <v>482</v>
      </c>
      <c r="H217" s="48" t="s">
        <v>147</v>
      </c>
      <c r="I217" s="51" t="s">
        <v>31</v>
      </c>
      <c r="J217" s="51">
        <v>60400000</v>
      </c>
      <c r="K217" s="48" t="str">
        <f>'[1]გეგმა 2024'!C65</f>
        <v>საჰაერო ტრანსპორტის მომსახურებები</v>
      </c>
      <c r="L217" s="53" t="s">
        <v>166</v>
      </c>
      <c r="M217" s="53" t="s">
        <v>483</v>
      </c>
    </row>
    <row r="218" spans="1:13" ht="157.5">
      <c r="A218" s="46">
        <v>213</v>
      </c>
      <c r="B218" s="47" t="s">
        <v>198</v>
      </c>
      <c r="C218" s="47" t="s">
        <v>165</v>
      </c>
      <c r="D218" s="48">
        <v>7441</v>
      </c>
      <c r="E218" s="48">
        <f>7441</f>
        <v>7441</v>
      </c>
      <c r="F218" s="48">
        <f t="shared" si="3"/>
        <v>0</v>
      </c>
      <c r="G218" s="48" t="s">
        <v>482</v>
      </c>
      <c r="H218" s="48" t="s">
        <v>147</v>
      </c>
      <c r="I218" s="51" t="s">
        <v>31</v>
      </c>
      <c r="J218" s="51">
        <v>60400000</v>
      </c>
      <c r="K218" s="48" t="str">
        <f>'[1]გეგმა 2024'!C65</f>
        <v>საჰაერო ტრანსპორტის მომსახურებები</v>
      </c>
      <c r="L218" s="53" t="s">
        <v>166</v>
      </c>
      <c r="M218" s="68" t="s">
        <v>484</v>
      </c>
    </row>
    <row r="219" spans="1:13" ht="157.5">
      <c r="A219" s="46">
        <v>214</v>
      </c>
      <c r="B219" s="47" t="s">
        <v>363</v>
      </c>
      <c r="C219" s="47" t="s">
        <v>207</v>
      </c>
      <c r="D219" s="48">
        <v>10251.84</v>
      </c>
      <c r="E219" s="48">
        <f>10251.84</f>
        <v>10251.84</v>
      </c>
      <c r="F219" s="48">
        <f t="shared" si="3"/>
        <v>0</v>
      </c>
      <c r="G219" s="48" t="s">
        <v>482</v>
      </c>
      <c r="H219" s="48" t="s">
        <v>147</v>
      </c>
      <c r="I219" s="51" t="s">
        <v>31</v>
      </c>
      <c r="J219" s="51">
        <v>55100000</v>
      </c>
      <c r="K219" s="48" t="str">
        <f>'[1]გეგმა 2024'!C59</f>
        <v>სასტუმროს მომსახურება</v>
      </c>
      <c r="L219" s="53" t="s">
        <v>166</v>
      </c>
      <c r="M219" s="53" t="s">
        <v>485</v>
      </c>
    </row>
    <row r="220" spans="1:13" ht="157.5">
      <c r="A220" s="46">
        <v>215</v>
      </c>
      <c r="B220" s="47" t="s">
        <v>486</v>
      </c>
      <c r="C220" s="47" t="s">
        <v>207</v>
      </c>
      <c r="D220" s="48">
        <v>4180</v>
      </c>
      <c r="E220" s="48">
        <f>4180</f>
        <v>4180</v>
      </c>
      <c r="F220" s="48">
        <f t="shared" si="3"/>
        <v>0</v>
      </c>
      <c r="G220" s="48" t="s">
        <v>482</v>
      </c>
      <c r="H220" s="48" t="s">
        <v>147</v>
      </c>
      <c r="I220" s="51" t="s">
        <v>31</v>
      </c>
      <c r="J220" s="51">
        <v>55100000</v>
      </c>
      <c r="K220" s="48" t="str">
        <f>'[1]გეგმა 2024'!C59</f>
        <v>სასტუმროს მომსახურება</v>
      </c>
      <c r="L220" s="53" t="s">
        <v>166</v>
      </c>
      <c r="M220" s="53" t="s">
        <v>487</v>
      </c>
    </row>
    <row r="221" spans="1:13" ht="157.5">
      <c r="A221" s="46">
        <v>216</v>
      </c>
      <c r="B221" s="47" t="s">
        <v>379</v>
      </c>
      <c r="C221" s="47" t="s">
        <v>207</v>
      </c>
      <c r="D221" s="48">
        <v>2000</v>
      </c>
      <c r="E221" s="48">
        <f>2000</f>
        <v>2000</v>
      </c>
      <c r="F221" s="48">
        <f t="shared" si="3"/>
        <v>0</v>
      </c>
      <c r="G221" s="48" t="s">
        <v>482</v>
      </c>
      <c r="H221" s="48" t="s">
        <v>147</v>
      </c>
      <c r="I221" s="51" t="s">
        <v>31</v>
      </c>
      <c r="J221" s="51">
        <v>55100000</v>
      </c>
      <c r="K221" s="48" t="str">
        <f>'[1]გეგმა 2024'!C59</f>
        <v>სასტუმროს მომსახურება</v>
      </c>
      <c r="L221" s="53" t="s">
        <v>166</v>
      </c>
      <c r="M221" s="60" t="s">
        <v>488</v>
      </c>
    </row>
    <row r="222" spans="1:13" ht="157.5">
      <c r="A222" s="46">
        <v>217</v>
      </c>
      <c r="B222" s="47" t="s">
        <v>187</v>
      </c>
      <c r="C222" s="47" t="s">
        <v>188</v>
      </c>
      <c r="D222" s="48">
        <v>4800</v>
      </c>
      <c r="E222" s="48">
        <f>4800</f>
        <v>4800</v>
      </c>
      <c r="F222" s="48">
        <f t="shared" si="3"/>
        <v>0</v>
      </c>
      <c r="G222" s="48" t="s">
        <v>482</v>
      </c>
      <c r="H222" s="48" t="s">
        <v>147</v>
      </c>
      <c r="I222" s="51" t="s">
        <v>31</v>
      </c>
      <c r="J222" s="51">
        <v>60100000</v>
      </c>
      <c r="K222" s="48" t="str">
        <f>'[1]გეგმა 2024'!C64</f>
        <v xml:space="preserve"> საავტომობილო ტრანსპორტის მომსახურებები</v>
      </c>
      <c r="L222" s="53" t="s">
        <v>166</v>
      </c>
      <c r="M222" s="68" t="s">
        <v>489</v>
      </c>
    </row>
    <row r="223" spans="1:13" ht="157.5">
      <c r="A223" s="46">
        <v>218</v>
      </c>
      <c r="B223" s="47" t="s">
        <v>490</v>
      </c>
      <c r="C223" s="47" t="s">
        <v>240</v>
      </c>
      <c r="D223" s="48">
        <v>2490</v>
      </c>
      <c r="E223" s="48">
        <f>2490</f>
        <v>2490</v>
      </c>
      <c r="F223" s="48">
        <f t="shared" si="3"/>
        <v>0</v>
      </c>
      <c r="G223" s="48" t="s">
        <v>482</v>
      </c>
      <c r="H223" s="48" t="s">
        <v>147</v>
      </c>
      <c r="I223" s="51" t="s">
        <v>31</v>
      </c>
      <c r="J223" s="51">
        <v>63500000</v>
      </c>
      <c r="K223" s="48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223" s="53" t="s">
        <v>166</v>
      </c>
      <c r="M223" s="53" t="s">
        <v>491</v>
      </c>
    </row>
    <row r="224" spans="1:13" ht="146.25">
      <c r="A224" s="21">
        <v>219</v>
      </c>
      <c r="B224" s="2" t="s">
        <v>492</v>
      </c>
      <c r="C224" s="2" t="s">
        <v>493</v>
      </c>
      <c r="D224" s="22">
        <v>1056</v>
      </c>
      <c r="E224" s="22">
        <f>24+24+24+24+24+24</f>
        <v>144</v>
      </c>
      <c r="F224" s="22">
        <f t="shared" si="3"/>
        <v>912</v>
      </c>
      <c r="G224" s="22" t="s">
        <v>482</v>
      </c>
      <c r="H224" s="22" t="s">
        <v>147</v>
      </c>
      <c r="I224" s="23" t="s">
        <v>31</v>
      </c>
      <c r="J224" s="23">
        <v>41100000</v>
      </c>
      <c r="K224" s="22" t="str">
        <f>'[1]გეგმა 2024'!C41</f>
        <v>სასმელი წყალი</v>
      </c>
      <c r="L224" s="26" t="s">
        <v>70</v>
      </c>
      <c r="M224" s="35" t="s">
        <v>494</v>
      </c>
    </row>
    <row r="225" spans="1:13" ht="303.75">
      <c r="A225" s="46">
        <v>220</v>
      </c>
      <c r="B225" s="47" t="s">
        <v>401</v>
      </c>
      <c r="C225" s="47" t="s">
        <v>495</v>
      </c>
      <c r="D225" s="48">
        <v>352110</v>
      </c>
      <c r="E225" s="48">
        <f>352110</f>
        <v>352110</v>
      </c>
      <c r="F225" s="48">
        <f t="shared" si="3"/>
        <v>0</v>
      </c>
      <c r="G225" s="48" t="s">
        <v>482</v>
      </c>
      <c r="H225" s="48" t="s">
        <v>147</v>
      </c>
      <c r="I225" s="51" t="s">
        <v>31</v>
      </c>
      <c r="J225" s="51">
        <v>79900000</v>
      </c>
      <c r="K225" s="48" t="str">
        <f>'[1]გეგმა 2024'!C100</f>
        <v xml:space="preserve"> სხვადასხვა კომერციული მომსახურება და მასთან დაკავშირებული მომსახურებები.</v>
      </c>
      <c r="L225" s="52" t="s">
        <v>108</v>
      </c>
      <c r="M225" s="74" t="s">
        <v>496</v>
      </c>
    </row>
    <row r="226" spans="1:13" ht="157.5">
      <c r="A226" s="46">
        <v>221</v>
      </c>
      <c r="B226" s="47" t="s">
        <v>198</v>
      </c>
      <c r="C226" s="47" t="s">
        <v>165</v>
      </c>
      <c r="D226" s="48">
        <v>1698.4</v>
      </c>
      <c r="E226" s="48">
        <f>1698.4</f>
        <v>1698.4</v>
      </c>
      <c r="F226" s="48">
        <f t="shared" si="3"/>
        <v>0</v>
      </c>
      <c r="G226" s="48" t="s">
        <v>482</v>
      </c>
      <c r="H226" s="48" t="s">
        <v>147</v>
      </c>
      <c r="I226" s="48" t="s">
        <v>31</v>
      </c>
      <c r="J226" s="51">
        <v>60400000</v>
      </c>
      <c r="K226" s="48" t="str">
        <f>'[1]გეგმა 2024'!C65</f>
        <v>საჰაერო ტრანსპორტის მომსახურებები</v>
      </c>
      <c r="L226" s="53" t="s">
        <v>166</v>
      </c>
      <c r="M226" s="53" t="s">
        <v>497</v>
      </c>
    </row>
    <row r="227" spans="1:13" ht="157.5">
      <c r="A227" s="46">
        <v>222</v>
      </c>
      <c r="B227" s="47" t="s">
        <v>200</v>
      </c>
      <c r="C227" s="47" t="s">
        <v>165</v>
      </c>
      <c r="D227" s="48">
        <v>5223</v>
      </c>
      <c r="E227" s="48">
        <f>5223</f>
        <v>5223</v>
      </c>
      <c r="F227" s="48">
        <f t="shared" si="3"/>
        <v>0</v>
      </c>
      <c r="G227" s="48" t="s">
        <v>482</v>
      </c>
      <c r="H227" s="48" t="s">
        <v>147</v>
      </c>
      <c r="I227" s="48" t="s">
        <v>31</v>
      </c>
      <c r="J227" s="51">
        <v>60400000</v>
      </c>
      <c r="K227" s="48" t="str">
        <f>'[1]გეგმა 2024'!C65</f>
        <v>საჰაერო ტრანსპორტის მომსახურებები</v>
      </c>
      <c r="L227" s="53" t="s">
        <v>166</v>
      </c>
      <c r="M227" s="60" t="s">
        <v>498</v>
      </c>
    </row>
    <row r="228" spans="1:13" ht="157.5">
      <c r="A228" s="46">
        <v>223</v>
      </c>
      <c r="B228" s="47" t="s">
        <v>198</v>
      </c>
      <c r="C228" s="47" t="s">
        <v>165</v>
      </c>
      <c r="D228" s="48">
        <v>2671.2</v>
      </c>
      <c r="E228" s="48">
        <f>2671.2</f>
        <v>2671.2</v>
      </c>
      <c r="F228" s="48">
        <f t="shared" si="3"/>
        <v>0</v>
      </c>
      <c r="G228" s="48" t="s">
        <v>482</v>
      </c>
      <c r="H228" s="48" t="s">
        <v>147</v>
      </c>
      <c r="I228" s="48" t="s">
        <v>31</v>
      </c>
      <c r="J228" s="51">
        <v>60400000</v>
      </c>
      <c r="K228" s="48" t="str">
        <f>'[1]გეგმა 2024'!C65</f>
        <v>საჰაერო ტრანსპორტის მომსახურებები</v>
      </c>
      <c r="L228" s="53" t="s">
        <v>166</v>
      </c>
      <c r="M228" s="53" t="s">
        <v>499</v>
      </c>
    </row>
    <row r="229" spans="1:13" ht="157.5">
      <c r="A229" s="46">
        <v>224</v>
      </c>
      <c r="B229" s="47" t="s">
        <v>395</v>
      </c>
      <c r="C229" s="47" t="s">
        <v>209</v>
      </c>
      <c r="D229" s="48">
        <f>1075</f>
        <v>1075</v>
      </c>
      <c r="E229" s="48">
        <f>1075</f>
        <v>1075</v>
      </c>
      <c r="F229" s="48">
        <f t="shared" si="3"/>
        <v>0</v>
      </c>
      <c r="G229" s="48" t="s">
        <v>500</v>
      </c>
      <c r="H229" s="48" t="s">
        <v>147</v>
      </c>
      <c r="I229" s="48" t="s">
        <v>31</v>
      </c>
      <c r="J229" s="51">
        <v>55300000</v>
      </c>
      <c r="K229" s="48" t="str">
        <f>'[1]გეგმა 2024'!C62</f>
        <v xml:space="preserve">რესტორნებისა და კვების საწარმოების მომსახურეობები </v>
      </c>
      <c r="L229" s="53" t="s">
        <v>166</v>
      </c>
      <c r="M229" s="53" t="s">
        <v>501</v>
      </c>
    </row>
    <row r="230" spans="1:13" ht="157.5">
      <c r="A230" s="46">
        <v>225</v>
      </c>
      <c r="B230" s="47" t="s">
        <v>502</v>
      </c>
      <c r="C230" s="47" t="s">
        <v>209</v>
      </c>
      <c r="D230" s="48">
        <v>5500</v>
      </c>
      <c r="E230" s="48">
        <f>5500</f>
        <v>5500</v>
      </c>
      <c r="F230" s="48">
        <f t="shared" si="3"/>
        <v>0</v>
      </c>
      <c r="G230" s="48" t="s">
        <v>500</v>
      </c>
      <c r="H230" s="48" t="s">
        <v>147</v>
      </c>
      <c r="I230" s="48" t="s">
        <v>31</v>
      </c>
      <c r="J230" s="51">
        <v>55300000</v>
      </c>
      <c r="K230" s="48" t="str">
        <f>'[1]გეგმა 2024'!C62</f>
        <v xml:space="preserve">რესტორნებისა და კვების საწარმოების მომსახურეობები </v>
      </c>
      <c r="L230" s="53" t="s">
        <v>166</v>
      </c>
      <c r="M230" s="53" t="s">
        <v>503</v>
      </c>
    </row>
    <row r="231" spans="1:13" ht="157.5">
      <c r="A231" s="46">
        <v>226</v>
      </c>
      <c r="B231" s="47" t="s">
        <v>164</v>
      </c>
      <c r="C231" s="47" t="s">
        <v>165</v>
      </c>
      <c r="D231" s="48">
        <v>3550</v>
      </c>
      <c r="E231" s="48">
        <f>3550</f>
        <v>3550</v>
      </c>
      <c r="F231" s="48">
        <f t="shared" si="3"/>
        <v>0</v>
      </c>
      <c r="G231" s="48" t="s">
        <v>500</v>
      </c>
      <c r="H231" s="48" t="s">
        <v>147</v>
      </c>
      <c r="I231" s="48" t="s">
        <v>31</v>
      </c>
      <c r="J231" s="51">
        <v>60400000</v>
      </c>
      <c r="K231" s="48" t="str">
        <f>'[1]გეგმა 2024'!C65</f>
        <v>საჰაერო ტრანსპორტის მომსახურებები</v>
      </c>
      <c r="L231" s="53" t="s">
        <v>166</v>
      </c>
      <c r="M231" s="53" t="s">
        <v>504</v>
      </c>
    </row>
    <row r="232" spans="1:13" ht="146.25">
      <c r="A232" s="46">
        <v>227</v>
      </c>
      <c r="B232" s="47" t="s">
        <v>505</v>
      </c>
      <c r="C232" s="47" t="s">
        <v>506</v>
      </c>
      <c r="D232" s="48">
        <v>780</v>
      </c>
      <c r="E232" s="48">
        <f>780</f>
        <v>780</v>
      </c>
      <c r="F232" s="48">
        <f t="shared" si="3"/>
        <v>0</v>
      </c>
      <c r="G232" s="48" t="s">
        <v>500</v>
      </c>
      <c r="H232" s="48" t="s">
        <v>147</v>
      </c>
      <c r="I232" s="48" t="s">
        <v>31</v>
      </c>
      <c r="J232" s="51">
        <v>15300000</v>
      </c>
      <c r="K232" s="48" t="str">
        <f>'[1]გეგმა 2024'!C10</f>
        <v>ხილი, ბოსტნეული და მონათესავე პროდუქტები</v>
      </c>
      <c r="L232" s="53" t="s">
        <v>78</v>
      </c>
      <c r="M232" s="53" t="s">
        <v>507</v>
      </c>
    </row>
    <row r="233" spans="1:13" ht="157.5">
      <c r="A233" s="46">
        <v>228</v>
      </c>
      <c r="B233" s="47" t="s">
        <v>284</v>
      </c>
      <c r="C233" s="47" t="s">
        <v>188</v>
      </c>
      <c r="D233" s="48">
        <v>17480</v>
      </c>
      <c r="E233" s="48">
        <f>17480</f>
        <v>17480</v>
      </c>
      <c r="F233" s="48">
        <f t="shared" si="3"/>
        <v>0</v>
      </c>
      <c r="G233" s="48" t="s">
        <v>508</v>
      </c>
      <c r="H233" s="48" t="s">
        <v>147</v>
      </c>
      <c r="I233" s="48" t="s">
        <v>31</v>
      </c>
      <c r="J233" s="51">
        <v>60100000</v>
      </c>
      <c r="K233" s="48" t="str">
        <f>'[1]გეგმა 2024'!C64</f>
        <v xml:space="preserve"> საავტომობილო ტრანსპორტის მომსახურებები</v>
      </c>
      <c r="L233" s="53" t="s">
        <v>166</v>
      </c>
      <c r="M233" s="53" t="s">
        <v>509</v>
      </c>
    </row>
    <row r="234" spans="1:13" ht="157.5">
      <c r="A234" s="46">
        <v>229</v>
      </c>
      <c r="B234" s="47" t="s">
        <v>206</v>
      </c>
      <c r="C234" s="47" t="s">
        <v>207</v>
      </c>
      <c r="D234" s="48">
        <v>12500</v>
      </c>
      <c r="E234" s="48">
        <f>12500</f>
        <v>12500</v>
      </c>
      <c r="F234" s="48">
        <f t="shared" si="3"/>
        <v>0</v>
      </c>
      <c r="G234" s="48" t="s">
        <v>508</v>
      </c>
      <c r="H234" s="48" t="s">
        <v>147</v>
      </c>
      <c r="I234" s="48" t="s">
        <v>31</v>
      </c>
      <c r="J234" s="51">
        <v>55100000</v>
      </c>
      <c r="K234" s="48" t="str">
        <f>'[1]გეგმა 2024'!C59</f>
        <v>სასტუმროს მომსახურება</v>
      </c>
      <c r="L234" s="53" t="s">
        <v>166</v>
      </c>
      <c r="M234" s="60" t="s">
        <v>510</v>
      </c>
    </row>
    <row r="235" spans="1:13" ht="157.5">
      <c r="A235" s="46">
        <v>230</v>
      </c>
      <c r="B235" s="47" t="s">
        <v>206</v>
      </c>
      <c r="C235" s="47" t="s">
        <v>209</v>
      </c>
      <c r="D235" s="48">
        <v>3900</v>
      </c>
      <c r="E235" s="48">
        <f>3900</f>
        <v>3900</v>
      </c>
      <c r="F235" s="48">
        <f t="shared" si="3"/>
        <v>0</v>
      </c>
      <c r="G235" s="48" t="s">
        <v>508</v>
      </c>
      <c r="H235" s="48" t="s">
        <v>147</v>
      </c>
      <c r="I235" s="48" t="s">
        <v>31</v>
      </c>
      <c r="J235" s="51">
        <v>55300000</v>
      </c>
      <c r="K235" s="48" t="str">
        <f>'[1]გეგმა 2024'!C62</f>
        <v xml:space="preserve">რესტორნებისა და კვების საწარმოების მომსახურეობები </v>
      </c>
      <c r="L235" s="53" t="s">
        <v>166</v>
      </c>
      <c r="M235" s="72" t="s">
        <v>511</v>
      </c>
    </row>
    <row r="236" spans="1:13" ht="157.5">
      <c r="A236" s="46">
        <v>231</v>
      </c>
      <c r="B236" s="47" t="s">
        <v>211</v>
      </c>
      <c r="C236" s="47" t="s">
        <v>209</v>
      </c>
      <c r="D236" s="48">
        <v>3000</v>
      </c>
      <c r="E236" s="48">
        <f>3000</f>
        <v>3000</v>
      </c>
      <c r="F236" s="48">
        <f t="shared" si="3"/>
        <v>0</v>
      </c>
      <c r="G236" s="48" t="s">
        <v>508</v>
      </c>
      <c r="H236" s="48" t="s">
        <v>147</v>
      </c>
      <c r="I236" s="48" t="s">
        <v>31</v>
      </c>
      <c r="J236" s="51">
        <v>55300000</v>
      </c>
      <c r="K236" s="48" t="str">
        <f>'[1]გეგმა 2024'!C62</f>
        <v xml:space="preserve">რესტორნებისა და კვების საწარმოების მომსახურეობები </v>
      </c>
      <c r="L236" s="53" t="s">
        <v>166</v>
      </c>
      <c r="M236" s="53" t="s">
        <v>512</v>
      </c>
    </row>
    <row r="237" spans="1:13" ht="157.5">
      <c r="A237" s="46">
        <v>232</v>
      </c>
      <c r="B237" s="47" t="s">
        <v>513</v>
      </c>
      <c r="C237" s="47" t="s">
        <v>209</v>
      </c>
      <c r="D237" s="48">
        <v>4500</v>
      </c>
      <c r="E237" s="48">
        <f>4500</f>
        <v>4500</v>
      </c>
      <c r="F237" s="48">
        <f t="shared" si="3"/>
        <v>0</v>
      </c>
      <c r="G237" s="48" t="s">
        <v>508</v>
      </c>
      <c r="H237" s="48" t="s">
        <v>147</v>
      </c>
      <c r="I237" s="48" t="s">
        <v>31</v>
      </c>
      <c r="J237" s="51">
        <v>55300000</v>
      </c>
      <c r="K237" s="48" t="str">
        <f>'[1]გეგმა 2024'!C62</f>
        <v xml:space="preserve">რესტორნებისა და კვების საწარმოების მომსახურეობები </v>
      </c>
      <c r="L237" s="53" t="s">
        <v>166</v>
      </c>
      <c r="M237" s="53" t="s">
        <v>514</v>
      </c>
    </row>
    <row r="238" spans="1:13" ht="157.5">
      <c r="A238" s="46">
        <v>233</v>
      </c>
      <c r="B238" s="47" t="s">
        <v>405</v>
      </c>
      <c r="C238" s="47" t="s">
        <v>209</v>
      </c>
      <c r="D238" s="48">
        <v>1100</v>
      </c>
      <c r="E238" s="48">
        <f>1100</f>
        <v>1100</v>
      </c>
      <c r="F238" s="48">
        <f t="shared" si="3"/>
        <v>0</v>
      </c>
      <c r="G238" s="48" t="s">
        <v>508</v>
      </c>
      <c r="H238" s="48" t="s">
        <v>147</v>
      </c>
      <c r="I238" s="48" t="s">
        <v>31</v>
      </c>
      <c r="J238" s="51">
        <v>55300000</v>
      </c>
      <c r="K238" s="48" t="str">
        <f>'[1]გეგმა 2024'!C62</f>
        <v xml:space="preserve">რესტორნებისა და კვების საწარმოების მომსახურეობები </v>
      </c>
      <c r="L238" s="53" t="s">
        <v>166</v>
      </c>
      <c r="M238" s="53" t="s">
        <v>515</v>
      </c>
    </row>
    <row r="239" spans="1:13" ht="157.5">
      <c r="A239" s="46">
        <v>234</v>
      </c>
      <c r="B239" s="47" t="s">
        <v>363</v>
      </c>
      <c r="C239" s="47" t="s">
        <v>207</v>
      </c>
      <c r="D239" s="48">
        <v>281.25</v>
      </c>
      <c r="E239" s="48">
        <f>281.25</f>
        <v>281.25</v>
      </c>
      <c r="F239" s="48">
        <f t="shared" si="3"/>
        <v>0</v>
      </c>
      <c r="G239" s="48" t="s">
        <v>508</v>
      </c>
      <c r="H239" s="48" t="s">
        <v>147</v>
      </c>
      <c r="I239" s="48" t="s">
        <v>31</v>
      </c>
      <c r="J239" s="51">
        <v>55100000</v>
      </c>
      <c r="K239" s="48" t="str">
        <f>'[1]გეგმა 2024'!C59</f>
        <v>სასტუმროს მომსახურება</v>
      </c>
      <c r="L239" s="53" t="s">
        <v>166</v>
      </c>
      <c r="M239" s="53" t="s">
        <v>516</v>
      </c>
    </row>
    <row r="240" spans="1:13" ht="157.5">
      <c r="A240" s="46">
        <v>235</v>
      </c>
      <c r="B240" s="47" t="s">
        <v>340</v>
      </c>
      <c r="C240" s="47" t="s">
        <v>207</v>
      </c>
      <c r="D240" s="48">
        <v>675.75</v>
      </c>
      <c r="E240" s="48">
        <f>675.75</f>
        <v>675.75</v>
      </c>
      <c r="F240" s="48">
        <f t="shared" si="3"/>
        <v>0</v>
      </c>
      <c r="G240" s="48" t="s">
        <v>508</v>
      </c>
      <c r="H240" s="48" t="s">
        <v>147</v>
      </c>
      <c r="I240" s="48" t="s">
        <v>31</v>
      </c>
      <c r="J240" s="51">
        <v>55100000</v>
      </c>
      <c r="K240" s="48" t="str">
        <f>'[1]გეგმა 2024'!C59</f>
        <v>სასტუმროს მომსახურება</v>
      </c>
      <c r="L240" s="53" t="s">
        <v>166</v>
      </c>
      <c r="M240" s="53" t="s">
        <v>517</v>
      </c>
    </row>
    <row r="241" spans="1:13" ht="157.5">
      <c r="A241" s="46">
        <v>236</v>
      </c>
      <c r="B241" s="47" t="s">
        <v>187</v>
      </c>
      <c r="C241" s="47" t="s">
        <v>240</v>
      </c>
      <c r="D241" s="48">
        <v>2100</v>
      </c>
      <c r="E241" s="48">
        <f>2100</f>
        <v>2100</v>
      </c>
      <c r="F241" s="48">
        <f t="shared" si="3"/>
        <v>0</v>
      </c>
      <c r="G241" s="48" t="s">
        <v>508</v>
      </c>
      <c r="H241" s="48" t="s">
        <v>147</v>
      </c>
      <c r="I241" s="48" t="s">
        <v>31</v>
      </c>
      <c r="J241" s="51">
        <v>63500000</v>
      </c>
      <c r="K241" s="48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241" s="53" t="s">
        <v>166</v>
      </c>
      <c r="M241" s="53" t="s">
        <v>518</v>
      </c>
    </row>
    <row r="242" spans="1:13" ht="157.5">
      <c r="A242" s="46">
        <v>237</v>
      </c>
      <c r="B242" s="47" t="s">
        <v>187</v>
      </c>
      <c r="C242" s="47" t="s">
        <v>188</v>
      </c>
      <c r="D242" s="48">
        <v>2600</v>
      </c>
      <c r="E242" s="48">
        <f>2600</f>
        <v>2600</v>
      </c>
      <c r="F242" s="48">
        <f t="shared" si="3"/>
        <v>0</v>
      </c>
      <c r="G242" s="48" t="s">
        <v>508</v>
      </c>
      <c r="H242" s="48" t="s">
        <v>147</v>
      </c>
      <c r="I242" s="48" t="s">
        <v>31</v>
      </c>
      <c r="J242" s="51">
        <v>60100000</v>
      </c>
      <c r="K242" s="48" t="str">
        <f>'[1]გეგმა 2024'!C64</f>
        <v xml:space="preserve"> საავტომობილო ტრანსპორტის მომსახურებები</v>
      </c>
      <c r="L242" s="53" t="s">
        <v>166</v>
      </c>
      <c r="M242" s="68" t="s">
        <v>519</v>
      </c>
    </row>
    <row r="243" spans="1:13" ht="63.75" customHeight="1">
      <c r="A243" s="77">
        <v>240</v>
      </c>
      <c r="B243" s="29" t="s">
        <v>520</v>
      </c>
      <c r="C243" s="29" t="s">
        <v>521</v>
      </c>
      <c r="D243" s="78">
        <v>178000</v>
      </c>
      <c r="E243" s="78">
        <f>142821.21+25707.82</f>
        <v>168529.03</v>
      </c>
      <c r="F243" s="78">
        <f t="shared" si="3"/>
        <v>9470.9700000000012</v>
      </c>
      <c r="G243" s="78" t="s">
        <v>508</v>
      </c>
      <c r="H243" s="78" t="s">
        <v>147</v>
      </c>
      <c r="I243" s="78" t="s">
        <v>31</v>
      </c>
      <c r="J243" s="27">
        <v>79300000</v>
      </c>
      <c r="K243" s="78" t="str">
        <f>'[1]გეგმა 2024'!C87</f>
        <v>ბაზრის კვლევა და ეკონომიკური კვლევა გამოკითხვები და სტატისტიკა.</v>
      </c>
      <c r="L243" s="30" t="s">
        <v>108</v>
      </c>
      <c r="M243" s="82" t="s">
        <v>522</v>
      </c>
    </row>
    <row r="244" spans="1:13" ht="63.75" customHeight="1">
      <c r="A244" s="46">
        <v>241</v>
      </c>
      <c r="B244" s="47" t="s">
        <v>523</v>
      </c>
      <c r="C244" s="47" t="s">
        <v>188</v>
      </c>
      <c r="D244" s="48">
        <v>6240</v>
      </c>
      <c r="E244" s="48">
        <f>6240</f>
        <v>6240</v>
      </c>
      <c r="F244" s="48">
        <f t="shared" si="3"/>
        <v>0</v>
      </c>
      <c r="G244" s="48" t="s">
        <v>524</v>
      </c>
      <c r="H244" s="48" t="s">
        <v>147</v>
      </c>
      <c r="I244" s="48" t="s">
        <v>31</v>
      </c>
      <c r="J244" s="51">
        <v>60100000</v>
      </c>
      <c r="K244" s="48" t="str">
        <f>'[1]გეგმა 2024'!C64</f>
        <v xml:space="preserve"> საავტომობილო ტრანსპორტის მომსახურებები</v>
      </c>
      <c r="L244" s="53" t="s">
        <v>166</v>
      </c>
      <c r="M244" s="53" t="s">
        <v>525</v>
      </c>
    </row>
    <row r="245" spans="1:13" ht="47.25" customHeight="1">
      <c r="A245" s="46">
        <v>242</v>
      </c>
      <c r="B245" s="47" t="s">
        <v>284</v>
      </c>
      <c r="C245" s="47" t="s">
        <v>240</v>
      </c>
      <c r="D245" s="48">
        <v>4140</v>
      </c>
      <c r="E245" s="48">
        <f>4140</f>
        <v>4140</v>
      </c>
      <c r="F245" s="48">
        <f t="shared" si="3"/>
        <v>0</v>
      </c>
      <c r="G245" s="48" t="s">
        <v>524</v>
      </c>
      <c r="H245" s="48" t="s">
        <v>147</v>
      </c>
      <c r="I245" s="48" t="s">
        <v>31</v>
      </c>
      <c r="J245" s="51">
        <v>63500000</v>
      </c>
      <c r="K245" s="48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245" s="53" t="s">
        <v>166</v>
      </c>
      <c r="M245" s="74" t="s">
        <v>526</v>
      </c>
    </row>
    <row r="246" spans="1:13" ht="38.25" customHeight="1">
      <c r="A246" s="46">
        <v>243</v>
      </c>
      <c r="B246" s="47" t="s">
        <v>527</v>
      </c>
      <c r="C246" s="47" t="s">
        <v>207</v>
      </c>
      <c r="D246" s="48">
        <v>5400</v>
      </c>
      <c r="E246" s="48">
        <f>5400</f>
        <v>5400</v>
      </c>
      <c r="F246" s="48">
        <f t="shared" si="3"/>
        <v>0</v>
      </c>
      <c r="G246" s="48" t="s">
        <v>524</v>
      </c>
      <c r="H246" s="48" t="s">
        <v>147</v>
      </c>
      <c r="I246" s="48" t="s">
        <v>31</v>
      </c>
      <c r="J246" s="51">
        <v>55100000</v>
      </c>
      <c r="K246" s="48" t="str">
        <f>'[1]გეგმა 2024'!C59</f>
        <v>სასტუმროს მომსახურება</v>
      </c>
      <c r="L246" s="53" t="s">
        <v>166</v>
      </c>
      <c r="M246" s="53" t="s">
        <v>528</v>
      </c>
    </row>
    <row r="247" spans="1:13" ht="157.5">
      <c r="A247" s="46">
        <v>244</v>
      </c>
      <c r="B247" s="47" t="s">
        <v>527</v>
      </c>
      <c r="C247" s="47" t="s">
        <v>209</v>
      </c>
      <c r="D247" s="48">
        <f>1460</f>
        <v>1460</v>
      </c>
      <c r="E247" s="48">
        <f>1460</f>
        <v>1460</v>
      </c>
      <c r="F247" s="48">
        <f t="shared" si="3"/>
        <v>0</v>
      </c>
      <c r="G247" s="48" t="s">
        <v>524</v>
      </c>
      <c r="H247" s="48" t="s">
        <v>147</v>
      </c>
      <c r="I247" s="48" t="s">
        <v>31</v>
      </c>
      <c r="J247" s="51">
        <v>55300000</v>
      </c>
      <c r="K247" s="48" t="str">
        <f>'[1]გეგმა 2024'!C62</f>
        <v xml:space="preserve">რესტორნებისა და კვების საწარმოების მომსახურეობები </v>
      </c>
      <c r="L247" s="53" t="s">
        <v>166</v>
      </c>
      <c r="M247" s="53" t="s">
        <v>529</v>
      </c>
    </row>
    <row r="248" spans="1:13" ht="157.5">
      <c r="A248" s="46">
        <v>245</v>
      </c>
      <c r="B248" s="47" t="s">
        <v>530</v>
      </c>
      <c r="C248" s="47" t="s">
        <v>209</v>
      </c>
      <c r="D248" s="48">
        <f>903.1</f>
        <v>903.1</v>
      </c>
      <c r="E248" s="48">
        <f>903.1</f>
        <v>903.1</v>
      </c>
      <c r="F248" s="48">
        <f t="shared" si="3"/>
        <v>0</v>
      </c>
      <c r="G248" s="48" t="s">
        <v>524</v>
      </c>
      <c r="H248" s="48" t="s">
        <v>147</v>
      </c>
      <c r="I248" s="48" t="s">
        <v>31</v>
      </c>
      <c r="J248" s="51">
        <v>55300000</v>
      </c>
      <c r="K248" s="48" t="str">
        <f>'[1]გეგმა 2024'!C62</f>
        <v xml:space="preserve">რესტორნებისა და კვების საწარმოების მომსახურეობები </v>
      </c>
      <c r="L248" s="53" t="s">
        <v>166</v>
      </c>
      <c r="M248" s="53" t="s">
        <v>531</v>
      </c>
    </row>
    <row r="249" spans="1:13" ht="157.5">
      <c r="A249" s="46">
        <v>246</v>
      </c>
      <c r="B249" s="47" t="s">
        <v>532</v>
      </c>
      <c r="C249" s="47" t="s">
        <v>209</v>
      </c>
      <c r="D249" s="48">
        <v>1100</v>
      </c>
      <c r="E249" s="48">
        <f>1100</f>
        <v>1100</v>
      </c>
      <c r="F249" s="48">
        <f t="shared" si="3"/>
        <v>0</v>
      </c>
      <c r="G249" s="48" t="s">
        <v>524</v>
      </c>
      <c r="H249" s="48" t="s">
        <v>147</v>
      </c>
      <c r="I249" s="48" t="s">
        <v>31</v>
      </c>
      <c r="J249" s="51">
        <v>55300000</v>
      </c>
      <c r="K249" s="48" t="str">
        <f>'[1]გეგმა 2024'!C62</f>
        <v xml:space="preserve">რესტორნებისა და კვების საწარმოების მომსახურეობები </v>
      </c>
      <c r="L249" s="53" t="s">
        <v>166</v>
      </c>
      <c r="M249" s="53" t="s">
        <v>533</v>
      </c>
    </row>
    <row r="250" spans="1:13" ht="157.5">
      <c r="A250" s="46">
        <v>247</v>
      </c>
      <c r="B250" s="47" t="s">
        <v>534</v>
      </c>
      <c r="C250" s="47" t="s">
        <v>209</v>
      </c>
      <c r="D250" s="48">
        <f>1062.05</f>
        <v>1062.05</v>
      </c>
      <c r="E250" s="48">
        <f>1062.05</f>
        <v>1062.05</v>
      </c>
      <c r="F250" s="48">
        <f t="shared" si="3"/>
        <v>0</v>
      </c>
      <c r="G250" s="48" t="s">
        <v>524</v>
      </c>
      <c r="H250" s="48" t="s">
        <v>147</v>
      </c>
      <c r="I250" s="48" t="s">
        <v>31</v>
      </c>
      <c r="J250" s="51">
        <v>55300000</v>
      </c>
      <c r="K250" s="48" t="str">
        <f>'[1]გეგმა 2024'!C62</f>
        <v xml:space="preserve">რესტორნებისა და კვების საწარმოების მომსახურეობები </v>
      </c>
      <c r="L250" s="53" t="s">
        <v>166</v>
      </c>
      <c r="M250" s="53" t="s">
        <v>535</v>
      </c>
    </row>
    <row r="251" spans="1:13" ht="42.75" customHeight="1">
      <c r="A251" s="21">
        <v>248</v>
      </c>
      <c r="B251" s="2" t="s">
        <v>449</v>
      </c>
      <c r="C251" s="61" t="s">
        <v>536</v>
      </c>
      <c r="D251" s="22">
        <v>110000</v>
      </c>
      <c r="E251" s="22"/>
      <c r="F251" s="22">
        <f t="shared" ref="F251:F310" si="4">D251-E251</f>
        <v>110000</v>
      </c>
      <c r="G251" s="22" t="s">
        <v>524</v>
      </c>
      <c r="H251" s="22" t="s">
        <v>147</v>
      </c>
      <c r="I251" s="22" t="s">
        <v>31</v>
      </c>
      <c r="J251" s="23">
        <v>79300000</v>
      </c>
      <c r="K251" s="22" t="str">
        <f>'[1]გეგმა 2024'!C87</f>
        <v>ბაზრის კვლევა და ეკონომიკური კვლევა გამოკითხვები და სტატისტიკა.</v>
      </c>
      <c r="L251" s="26" t="s">
        <v>108</v>
      </c>
      <c r="M251" s="83" t="s">
        <v>537</v>
      </c>
    </row>
    <row r="252" spans="1:13" ht="51" customHeight="1">
      <c r="A252" s="46">
        <v>249</v>
      </c>
      <c r="B252" s="47" t="s">
        <v>538</v>
      </c>
      <c r="C252" s="47" t="s">
        <v>209</v>
      </c>
      <c r="D252" s="48">
        <f>1013.75</f>
        <v>1013.75</v>
      </c>
      <c r="E252" s="48">
        <f>1013.75</f>
        <v>1013.75</v>
      </c>
      <c r="F252" s="48">
        <f t="shared" si="4"/>
        <v>0</v>
      </c>
      <c r="G252" s="48" t="s">
        <v>524</v>
      </c>
      <c r="H252" s="48" t="s">
        <v>147</v>
      </c>
      <c r="I252" s="48" t="s">
        <v>31</v>
      </c>
      <c r="J252" s="51">
        <v>55300000</v>
      </c>
      <c r="K252" s="48" t="str">
        <f>'[1]გეგმა 2024'!C62</f>
        <v xml:space="preserve">რესტორნებისა და კვების საწარმოების მომსახურეობები </v>
      </c>
      <c r="L252" s="53" t="s">
        <v>166</v>
      </c>
      <c r="M252" s="53" t="s">
        <v>539</v>
      </c>
    </row>
    <row r="253" spans="1:13" ht="57" customHeight="1">
      <c r="A253" s="46">
        <v>250</v>
      </c>
      <c r="B253" s="80" t="s">
        <v>455</v>
      </c>
      <c r="C253" s="47" t="s">
        <v>456</v>
      </c>
      <c r="D253" s="48">
        <f>118055+23520+13066.67</f>
        <v>154641.67000000001</v>
      </c>
      <c r="E253" s="48">
        <f>118055+23520+13066.67</f>
        <v>154641.67000000001</v>
      </c>
      <c r="F253" s="48">
        <f t="shared" si="4"/>
        <v>0</v>
      </c>
      <c r="G253" s="48" t="s">
        <v>540</v>
      </c>
      <c r="H253" s="48" t="s">
        <v>147</v>
      </c>
      <c r="I253" s="48" t="s">
        <v>31</v>
      </c>
      <c r="J253" s="51">
        <v>79900000</v>
      </c>
      <c r="K253" s="48" t="str">
        <f>'[1]გეგმა 2024'!C100</f>
        <v xml:space="preserve"> სხვადასხვა კომერციული მომსახურება და მასთან დაკავშირებული მომსახურებები.</v>
      </c>
      <c r="L253" s="54" t="s">
        <v>108</v>
      </c>
      <c r="M253" s="53" t="s">
        <v>541</v>
      </c>
    </row>
    <row r="254" spans="1:13" ht="54.75" customHeight="1">
      <c r="A254" s="46">
        <v>251</v>
      </c>
      <c r="B254" s="47" t="s">
        <v>250</v>
      </c>
      <c r="C254" s="47" t="s">
        <v>273</v>
      </c>
      <c r="D254" s="48">
        <v>90</v>
      </c>
      <c r="E254" s="48">
        <f>90</f>
        <v>90</v>
      </c>
      <c r="F254" s="48">
        <f t="shared" si="4"/>
        <v>0</v>
      </c>
      <c r="G254" s="48" t="s">
        <v>540</v>
      </c>
      <c r="H254" s="48" t="s">
        <v>147</v>
      </c>
      <c r="I254" s="48" t="s">
        <v>31</v>
      </c>
      <c r="J254" s="51">
        <v>55400000</v>
      </c>
      <c r="K254" s="48" t="str">
        <f>'[1]გეგმა 2024'!C63</f>
        <v>სასმელების მიტანის მომსახურება</v>
      </c>
      <c r="L254" s="53" t="s">
        <v>166</v>
      </c>
      <c r="M254" s="53" t="s">
        <v>542</v>
      </c>
    </row>
    <row r="255" spans="1:13" ht="51" customHeight="1">
      <c r="A255" s="46">
        <v>252</v>
      </c>
      <c r="B255" s="47" t="s">
        <v>266</v>
      </c>
      <c r="C255" s="47" t="s">
        <v>267</v>
      </c>
      <c r="D255" s="48">
        <v>300</v>
      </c>
      <c r="E255" s="48">
        <f>300</f>
        <v>300</v>
      </c>
      <c r="F255" s="48">
        <f t="shared" si="4"/>
        <v>0</v>
      </c>
      <c r="G255" s="48" t="s">
        <v>540</v>
      </c>
      <c r="H255" s="48" t="s">
        <v>147</v>
      </c>
      <c r="I255" s="48" t="s">
        <v>31</v>
      </c>
      <c r="J255" s="51">
        <v>98300000</v>
      </c>
      <c r="K255" s="48" t="str">
        <f>'[1]გეგმა 2024'!C116</f>
        <v>სხვადასხვა მომსახურება.</v>
      </c>
      <c r="L255" s="53" t="s">
        <v>166</v>
      </c>
      <c r="M255" s="53" t="s">
        <v>543</v>
      </c>
    </row>
    <row r="256" spans="1:13" ht="57" customHeight="1">
      <c r="A256" s="46">
        <v>253</v>
      </c>
      <c r="B256" s="47" t="s">
        <v>318</v>
      </c>
      <c r="C256" s="47" t="s">
        <v>209</v>
      </c>
      <c r="D256" s="48">
        <f>99</f>
        <v>99</v>
      </c>
      <c r="E256" s="48">
        <f>99</f>
        <v>99</v>
      </c>
      <c r="F256" s="48">
        <f t="shared" si="4"/>
        <v>0</v>
      </c>
      <c r="G256" s="48" t="s">
        <v>540</v>
      </c>
      <c r="H256" s="48" t="s">
        <v>147</v>
      </c>
      <c r="I256" s="48" t="s">
        <v>31</v>
      </c>
      <c r="J256" s="51">
        <v>55300000</v>
      </c>
      <c r="K256" s="48" t="str">
        <f>'[1]გეგმა 2024'!C62</f>
        <v xml:space="preserve">რესტორნებისა და კვების საწარმოების მომსახურეობები </v>
      </c>
      <c r="L256" s="53" t="s">
        <v>166</v>
      </c>
      <c r="M256" s="53" t="s">
        <v>544</v>
      </c>
    </row>
    <row r="257" spans="1:13" ht="51" customHeight="1">
      <c r="A257" s="46">
        <v>254</v>
      </c>
      <c r="B257" s="47" t="s">
        <v>239</v>
      </c>
      <c r="C257" s="47" t="s">
        <v>240</v>
      </c>
      <c r="D257" s="48">
        <v>6400</v>
      </c>
      <c r="E257" s="48">
        <f>6400</f>
        <v>6400</v>
      </c>
      <c r="F257" s="48">
        <f t="shared" si="4"/>
        <v>0</v>
      </c>
      <c r="G257" s="48" t="s">
        <v>540</v>
      </c>
      <c r="H257" s="48" t="s">
        <v>147</v>
      </c>
      <c r="I257" s="48" t="s">
        <v>31</v>
      </c>
      <c r="J257" s="51">
        <v>63500000</v>
      </c>
      <c r="K257" s="48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257" s="53" t="s">
        <v>166</v>
      </c>
      <c r="M257" s="53" t="s">
        <v>545</v>
      </c>
    </row>
    <row r="258" spans="1:13" ht="39" customHeight="1">
      <c r="A258" s="46">
        <v>255</v>
      </c>
      <c r="B258" s="47" t="s">
        <v>546</v>
      </c>
      <c r="C258" s="47" t="s">
        <v>230</v>
      </c>
      <c r="D258" s="48">
        <v>220</v>
      </c>
      <c r="E258" s="48">
        <f>220</f>
        <v>220</v>
      </c>
      <c r="F258" s="48">
        <f t="shared" si="4"/>
        <v>0</v>
      </c>
      <c r="G258" s="48" t="s">
        <v>540</v>
      </c>
      <c r="H258" s="48" t="s">
        <v>147</v>
      </c>
      <c r="I258" s="48" t="s">
        <v>31</v>
      </c>
      <c r="J258" s="51">
        <v>92500000</v>
      </c>
      <c r="K258" s="48" t="str">
        <f>'[1]გეგმა 2024'!C114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258" s="53" t="s">
        <v>166</v>
      </c>
      <c r="M258" s="53" t="s">
        <v>547</v>
      </c>
    </row>
    <row r="259" spans="1:13" ht="59.25" customHeight="1">
      <c r="A259" s="46">
        <v>256</v>
      </c>
      <c r="B259" s="47" t="s">
        <v>548</v>
      </c>
      <c r="C259" s="47" t="s">
        <v>549</v>
      </c>
      <c r="D259" s="48">
        <v>76000</v>
      </c>
      <c r="E259" s="48">
        <f>76000</f>
        <v>76000</v>
      </c>
      <c r="F259" s="48">
        <f t="shared" si="4"/>
        <v>0</v>
      </c>
      <c r="G259" s="48" t="s">
        <v>540</v>
      </c>
      <c r="H259" s="48" t="s">
        <v>147</v>
      </c>
      <c r="I259" s="48" t="s">
        <v>31</v>
      </c>
      <c r="J259" s="51">
        <v>80500000</v>
      </c>
      <c r="K259" s="48" t="str">
        <f>'[1]გეგმა 2024'!C103</f>
        <v>სატრენინგო მომსახურებები.</v>
      </c>
      <c r="L259" s="54" t="s">
        <v>108</v>
      </c>
      <c r="M259" s="74" t="s">
        <v>550</v>
      </c>
    </row>
    <row r="260" spans="1:13" ht="35.25" customHeight="1">
      <c r="A260" s="46">
        <v>257</v>
      </c>
      <c r="B260" s="47" t="s">
        <v>551</v>
      </c>
      <c r="C260" s="47" t="s">
        <v>552</v>
      </c>
      <c r="D260" s="48">
        <v>1150</v>
      </c>
      <c r="E260" s="48">
        <f>1150</f>
        <v>1150</v>
      </c>
      <c r="F260" s="48">
        <f t="shared" si="4"/>
        <v>0</v>
      </c>
      <c r="G260" s="48" t="s">
        <v>540</v>
      </c>
      <c r="H260" s="48" t="s">
        <v>147</v>
      </c>
      <c r="I260" s="48" t="s">
        <v>31</v>
      </c>
      <c r="J260" s="51">
        <v>30100000</v>
      </c>
      <c r="K260" s="48" t="str">
        <f>'[1]გეგმა 2024'!C26</f>
        <v>საოფისე მანქანა-დანადგარები, აღჭურვილობა და საკანცელარიო ნივთები, კომპიუტერების, პრინტერებისა და ავეჯის გარდა</v>
      </c>
      <c r="L260" s="53" t="s">
        <v>78</v>
      </c>
      <c r="M260" s="46" t="s">
        <v>553</v>
      </c>
    </row>
    <row r="261" spans="1:13" ht="59.25" customHeight="1">
      <c r="A261" s="46">
        <v>258</v>
      </c>
      <c r="B261" s="47" t="s">
        <v>239</v>
      </c>
      <c r="C261" s="47" t="s">
        <v>188</v>
      </c>
      <c r="D261" s="48">
        <v>7500</v>
      </c>
      <c r="E261" s="48">
        <f>7500</f>
        <v>7500</v>
      </c>
      <c r="F261" s="48">
        <f t="shared" si="4"/>
        <v>0</v>
      </c>
      <c r="G261" s="48" t="s">
        <v>540</v>
      </c>
      <c r="H261" s="48" t="s">
        <v>147</v>
      </c>
      <c r="I261" s="48" t="s">
        <v>31</v>
      </c>
      <c r="J261" s="51">
        <v>60100000</v>
      </c>
      <c r="K261" s="48" t="str">
        <f>'[1]გეგმა 2024'!C64</f>
        <v xml:space="preserve"> საავტომობილო ტრანსპორტის მომსახურებები</v>
      </c>
      <c r="L261" s="53" t="s">
        <v>166</v>
      </c>
      <c r="M261" s="68" t="s">
        <v>554</v>
      </c>
    </row>
    <row r="262" spans="1:13" ht="51" customHeight="1">
      <c r="A262" s="46">
        <v>260</v>
      </c>
      <c r="B262" s="84" t="s">
        <v>557</v>
      </c>
      <c r="C262" s="47" t="s">
        <v>240</v>
      </c>
      <c r="D262" s="48">
        <v>2170</v>
      </c>
      <c r="E262" s="48">
        <f>43.4+425.32+1701.28</f>
        <v>2170</v>
      </c>
      <c r="F262" s="48">
        <f t="shared" si="4"/>
        <v>0</v>
      </c>
      <c r="G262" s="48" t="s">
        <v>540</v>
      </c>
      <c r="H262" s="48" t="s">
        <v>147</v>
      </c>
      <c r="I262" s="48" t="s">
        <v>31</v>
      </c>
      <c r="J262" s="51">
        <v>63500000</v>
      </c>
      <c r="K262" s="48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262" s="53" t="s">
        <v>166</v>
      </c>
      <c r="M262" s="53" t="s">
        <v>558</v>
      </c>
    </row>
    <row r="263" spans="1:13" ht="60.75" customHeight="1">
      <c r="A263" s="46">
        <v>261</v>
      </c>
      <c r="B263" s="47" t="s">
        <v>559</v>
      </c>
      <c r="C263" s="47" t="s">
        <v>209</v>
      </c>
      <c r="D263" s="48">
        <f>928.37</f>
        <v>928.37</v>
      </c>
      <c r="E263" s="48">
        <f>928.37</f>
        <v>928.37</v>
      </c>
      <c r="F263" s="48">
        <f t="shared" si="4"/>
        <v>0</v>
      </c>
      <c r="G263" s="48" t="s">
        <v>540</v>
      </c>
      <c r="H263" s="48" t="s">
        <v>147</v>
      </c>
      <c r="I263" s="48" t="s">
        <v>31</v>
      </c>
      <c r="J263" s="51">
        <v>55300000</v>
      </c>
      <c r="K263" s="48" t="str">
        <f>'[1]გეგმა 2024'!C62</f>
        <v xml:space="preserve">რესტორნებისა და კვების საწარმოების მომსახურეობები </v>
      </c>
      <c r="L263" s="53" t="s">
        <v>166</v>
      </c>
      <c r="M263" s="53" t="s">
        <v>560</v>
      </c>
    </row>
    <row r="264" spans="1:13" ht="66.75" customHeight="1">
      <c r="A264" s="46">
        <v>262</v>
      </c>
      <c r="B264" s="47" t="s">
        <v>561</v>
      </c>
      <c r="C264" s="47" t="s">
        <v>209</v>
      </c>
      <c r="D264" s="48">
        <f>907.5</f>
        <v>907.5</v>
      </c>
      <c r="E264" s="48">
        <f>907.5</f>
        <v>907.5</v>
      </c>
      <c r="F264" s="48">
        <f t="shared" si="4"/>
        <v>0</v>
      </c>
      <c r="G264" s="48" t="s">
        <v>540</v>
      </c>
      <c r="H264" s="48" t="s">
        <v>147</v>
      </c>
      <c r="I264" s="48" t="s">
        <v>31</v>
      </c>
      <c r="J264" s="51">
        <v>55300000</v>
      </c>
      <c r="K264" s="47" t="str">
        <f>'[1]გეგმა 2024'!C62</f>
        <v xml:space="preserve">რესტორნებისა და კვების საწარმოების მომსახურეობები </v>
      </c>
      <c r="L264" s="53" t="s">
        <v>166</v>
      </c>
      <c r="M264" s="53" t="s">
        <v>562</v>
      </c>
    </row>
    <row r="265" spans="1:13" ht="63" customHeight="1">
      <c r="A265" s="46">
        <v>263</v>
      </c>
      <c r="B265" s="47" t="s">
        <v>563</v>
      </c>
      <c r="C265" s="47" t="s">
        <v>209</v>
      </c>
      <c r="D265" s="48">
        <f>931</f>
        <v>931</v>
      </c>
      <c r="E265" s="48">
        <f>931</f>
        <v>931</v>
      </c>
      <c r="F265" s="48">
        <f t="shared" si="4"/>
        <v>0</v>
      </c>
      <c r="G265" s="48" t="s">
        <v>540</v>
      </c>
      <c r="H265" s="48" t="s">
        <v>147</v>
      </c>
      <c r="I265" s="48" t="s">
        <v>31</v>
      </c>
      <c r="J265" s="51">
        <v>55300000</v>
      </c>
      <c r="K265" s="47" t="str">
        <f>'[1]გეგმა 2024'!C62</f>
        <v xml:space="preserve">რესტორნებისა და კვების საწარმოების მომსახურეობები </v>
      </c>
      <c r="L265" s="53" t="s">
        <v>166</v>
      </c>
      <c r="M265" s="53" t="s">
        <v>564</v>
      </c>
    </row>
    <row r="266" spans="1:13" ht="157.5">
      <c r="A266" s="46">
        <v>264</v>
      </c>
      <c r="B266" s="47" t="s">
        <v>565</v>
      </c>
      <c r="C266" s="47" t="s">
        <v>209</v>
      </c>
      <c r="D266" s="48">
        <f>784.3</f>
        <v>784.3</v>
      </c>
      <c r="E266" s="48">
        <f>784.3</f>
        <v>784.3</v>
      </c>
      <c r="F266" s="48">
        <f t="shared" si="4"/>
        <v>0</v>
      </c>
      <c r="G266" s="48" t="s">
        <v>540</v>
      </c>
      <c r="H266" s="48" t="s">
        <v>147</v>
      </c>
      <c r="I266" s="48" t="s">
        <v>31</v>
      </c>
      <c r="J266" s="51">
        <v>55300000</v>
      </c>
      <c r="K266" s="47" t="str">
        <f>'[1]გეგმა 2024'!C62</f>
        <v xml:space="preserve">რესტორნებისა და კვების საწარმოების მომსახურეობები </v>
      </c>
      <c r="L266" s="53" t="s">
        <v>166</v>
      </c>
      <c r="M266" s="53" t="s">
        <v>566</v>
      </c>
    </row>
    <row r="267" spans="1:13" ht="157.5">
      <c r="A267" s="46">
        <v>265</v>
      </c>
      <c r="B267" s="47" t="s">
        <v>187</v>
      </c>
      <c r="C267" s="47" t="s">
        <v>188</v>
      </c>
      <c r="D267" s="48">
        <v>4200</v>
      </c>
      <c r="E267" s="48">
        <f>4200</f>
        <v>4200</v>
      </c>
      <c r="F267" s="48">
        <f t="shared" si="4"/>
        <v>0</v>
      </c>
      <c r="G267" s="48" t="s">
        <v>540</v>
      </c>
      <c r="H267" s="48" t="s">
        <v>147</v>
      </c>
      <c r="I267" s="48" t="s">
        <v>31</v>
      </c>
      <c r="J267" s="51">
        <v>60100000</v>
      </c>
      <c r="K267" s="47" t="str">
        <f>'[1]გეგმა 2024'!C64</f>
        <v xml:space="preserve"> საავტომობილო ტრანსპორტის მომსახურებები</v>
      </c>
      <c r="L267" s="53" t="s">
        <v>166</v>
      </c>
      <c r="M267" s="53" t="s">
        <v>567</v>
      </c>
    </row>
    <row r="268" spans="1:13" ht="157.5">
      <c r="A268" s="46">
        <v>266</v>
      </c>
      <c r="B268" s="47" t="s">
        <v>363</v>
      </c>
      <c r="C268" s="47" t="s">
        <v>207</v>
      </c>
      <c r="D268" s="48">
        <v>4708.2</v>
      </c>
      <c r="E268" s="48">
        <f>4708.2</f>
        <v>4708.2</v>
      </c>
      <c r="F268" s="48">
        <f t="shared" si="4"/>
        <v>0</v>
      </c>
      <c r="G268" s="48" t="s">
        <v>568</v>
      </c>
      <c r="H268" s="48" t="s">
        <v>147</v>
      </c>
      <c r="I268" s="48" t="s">
        <v>31</v>
      </c>
      <c r="J268" s="51">
        <v>55100000</v>
      </c>
      <c r="K268" s="47" t="str">
        <f>'[1]გეგმა 2024'!C59</f>
        <v>სასტუმროს მომსახურება</v>
      </c>
      <c r="L268" s="53" t="s">
        <v>166</v>
      </c>
      <c r="M268" s="53" t="s">
        <v>569</v>
      </c>
    </row>
    <row r="269" spans="1:13" ht="157.5">
      <c r="A269" s="46">
        <v>267</v>
      </c>
      <c r="B269" s="47" t="s">
        <v>570</v>
      </c>
      <c r="C269" s="47" t="s">
        <v>207</v>
      </c>
      <c r="D269" s="48">
        <v>1700</v>
      </c>
      <c r="E269" s="48">
        <f>1700</f>
        <v>1700</v>
      </c>
      <c r="F269" s="48">
        <f t="shared" si="4"/>
        <v>0</v>
      </c>
      <c r="G269" s="48" t="s">
        <v>568</v>
      </c>
      <c r="H269" s="48" t="s">
        <v>147</v>
      </c>
      <c r="I269" s="48" t="s">
        <v>31</v>
      </c>
      <c r="J269" s="51">
        <v>55100000</v>
      </c>
      <c r="K269" s="47" t="str">
        <f>'[1]გეგმა 2024'!C59</f>
        <v>სასტუმროს მომსახურება</v>
      </c>
      <c r="L269" s="53" t="s">
        <v>166</v>
      </c>
      <c r="M269" s="53" t="s">
        <v>571</v>
      </c>
    </row>
    <row r="270" spans="1:13" ht="157.5">
      <c r="A270" s="46">
        <v>268</v>
      </c>
      <c r="B270" s="47" t="s">
        <v>570</v>
      </c>
      <c r="C270" s="47" t="s">
        <v>209</v>
      </c>
      <c r="D270" s="48">
        <f>450</f>
        <v>450</v>
      </c>
      <c r="E270" s="48">
        <f>450</f>
        <v>450</v>
      </c>
      <c r="F270" s="48">
        <f t="shared" si="4"/>
        <v>0</v>
      </c>
      <c r="G270" s="48" t="s">
        <v>568</v>
      </c>
      <c r="H270" s="48" t="s">
        <v>147</v>
      </c>
      <c r="I270" s="48" t="s">
        <v>31</v>
      </c>
      <c r="J270" s="51">
        <v>55300000</v>
      </c>
      <c r="K270" s="47" t="str">
        <f>'[1]გეგმა 2024'!C62</f>
        <v xml:space="preserve">რესტორნებისა და კვების საწარმოების მომსახურეობები </v>
      </c>
      <c r="L270" s="53" t="s">
        <v>166</v>
      </c>
      <c r="M270" s="53" t="s">
        <v>572</v>
      </c>
    </row>
    <row r="271" spans="1:13" ht="157.5">
      <c r="A271" s="46">
        <v>269</v>
      </c>
      <c r="B271" s="47" t="s">
        <v>260</v>
      </c>
      <c r="C271" s="47" t="s">
        <v>209</v>
      </c>
      <c r="D271" s="48">
        <f>252.52</f>
        <v>252.52</v>
      </c>
      <c r="E271" s="48">
        <f>252.52</f>
        <v>252.52</v>
      </c>
      <c r="F271" s="48">
        <f t="shared" si="4"/>
        <v>0</v>
      </c>
      <c r="G271" s="48" t="s">
        <v>568</v>
      </c>
      <c r="H271" s="48" t="s">
        <v>147</v>
      </c>
      <c r="I271" s="48" t="s">
        <v>31</v>
      </c>
      <c r="J271" s="51">
        <v>55300000</v>
      </c>
      <c r="K271" s="47" t="str">
        <f>'[1]გეგმა 2024'!C62</f>
        <v xml:space="preserve">რესტორნებისა და კვების საწარმოების მომსახურეობები </v>
      </c>
      <c r="L271" s="53" t="s">
        <v>166</v>
      </c>
      <c r="M271" s="53" t="s">
        <v>573</v>
      </c>
    </row>
    <row r="272" spans="1:13" ht="157.5">
      <c r="A272" s="46">
        <v>270</v>
      </c>
      <c r="B272" s="47" t="s">
        <v>302</v>
      </c>
      <c r="C272" s="47" t="s">
        <v>209</v>
      </c>
      <c r="D272" s="48">
        <f>469.64</f>
        <v>469.64</v>
      </c>
      <c r="E272" s="48">
        <f>469.64</f>
        <v>469.64</v>
      </c>
      <c r="F272" s="48">
        <f t="shared" si="4"/>
        <v>0</v>
      </c>
      <c r="G272" s="48" t="s">
        <v>568</v>
      </c>
      <c r="H272" s="48" t="s">
        <v>147</v>
      </c>
      <c r="I272" s="48" t="s">
        <v>31</v>
      </c>
      <c r="J272" s="51">
        <v>55300000</v>
      </c>
      <c r="K272" s="47" t="str">
        <f>'[1]გეგმა 2024'!C62</f>
        <v xml:space="preserve">რესტორნებისა და კვების საწარმოების მომსახურეობები </v>
      </c>
      <c r="L272" s="53" t="s">
        <v>166</v>
      </c>
      <c r="M272" s="72" t="s">
        <v>574</v>
      </c>
    </row>
    <row r="273" spans="1:13" ht="157.5">
      <c r="A273" s="46">
        <v>271</v>
      </c>
      <c r="B273" s="47" t="s">
        <v>575</v>
      </c>
      <c r="C273" s="47" t="s">
        <v>209</v>
      </c>
      <c r="D273" s="48">
        <f>486.2</f>
        <v>486.2</v>
      </c>
      <c r="E273" s="48">
        <f>486.2</f>
        <v>486.2</v>
      </c>
      <c r="F273" s="48">
        <f t="shared" si="4"/>
        <v>0</v>
      </c>
      <c r="G273" s="48" t="s">
        <v>568</v>
      </c>
      <c r="H273" s="48" t="s">
        <v>147</v>
      </c>
      <c r="I273" s="48" t="s">
        <v>31</v>
      </c>
      <c r="J273" s="51">
        <v>55300000</v>
      </c>
      <c r="K273" s="47" t="str">
        <f>'[1]გეგმა 2024'!C62</f>
        <v xml:space="preserve">რესტორნებისა და კვების საწარმოების მომსახურეობები </v>
      </c>
      <c r="L273" s="53" t="s">
        <v>166</v>
      </c>
      <c r="M273" s="53" t="s">
        <v>576</v>
      </c>
    </row>
    <row r="274" spans="1:13" ht="157.5">
      <c r="A274" s="46">
        <v>272</v>
      </c>
      <c r="B274" s="47" t="s">
        <v>211</v>
      </c>
      <c r="C274" s="47" t="s">
        <v>209</v>
      </c>
      <c r="D274" s="48">
        <f>421.12</f>
        <v>421.12</v>
      </c>
      <c r="E274" s="48">
        <f>421.12</f>
        <v>421.12</v>
      </c>
      <c r="F274" s="48">
        <f t="shared" si="4"/>
        <v>0</v>
      </c>
      <c r="G274" s="48" t="s">
        <v>568</v>
      </c>
      <c r="H274" s="48" t="s">
        <v>147</v>
      </c>
      <c r="I274" s="48" t="s">
        <v>31</v>
      </c>
      <c r="J274" s="51">
        <v>55300000</v>
      </c>
      <c r="K274" s="47" t="str">
        <f>'[1]გეგმა 2024'!C62</f>
        <v xml:space="preserve">რესტორნებისა და კვების საწარმოების მომსახურეობები </v>
      </c>
      <c r="L274" s="53" t="s">
        <v>166</v>
      </c>
      <c r="M274" s="72" t="s">
        <v>577</v>
      </c>
    </row>
    <row r="275" spans="1:13" ht="157.5">
      <c r="A275" s="46">
        <v>273</v>
      </c>
      <c r="B275" s="47" t="s">
        <v>255</v>
      </c>
      <c r="C275" s="47" t="s">
        <v>209</v>
      </c>
      <c r="D275" s="48">
        <f>149</f>
        <v>149</v>
      </c>
      <c r="E275" s="48">
        <f>149</f>
        <v>149</v>
      </c>
      <c r="F275" s="48">
        <f t="shared" si="4"/>
        <v>0</v>
      </c>
      <c r="G275" s="48" t="s">
        <v>568</v>
      </c>
      <c r="H275" s="48" t="s">
        <v>147</v>
      </c>
      <c r="I275" s="48" t="s">
        <v>31</v>
      </c>
      <c r="J275" s="51">
        <v>55300000</v>
      </c>
      <c r="K275" s="47" t="str">
        <f>'[1]გეგმა 2024'!C62</f>
        <v xml:space="preserve">რესტორნებისა და კვების საწარმოების მომსახურეობები </v>
      </c>
      <c r="L275" s="53" t="s">
        <v>166</v>
      </c>
      <c r="M275" s="47" t="s">
        <v>578</v>
      </c>
    </row>
    <row r="276" spans="1:13" ht="157.5">
      <c r="A276" s="46">
        <v>274</v>
      </c>
      <c r="B276" s="47" t="s">
        <v>384</v>
      </c>
      <c r="C276" s="47" t="s">
        <v>207</v>
      </c>
      <c r="D276" s="48">
        <v>4662</v>
      </c>
      <c r="E276" s="48">
        <f>4662</f>
        <v>4662</v>
      </c>
      <c r="F276" s="48">
        <f t="shared" si="4"/>
        <v>0</v>
      </c>
      <c r="G276" s="48" t="s">
        <v>568</v>
      </c>
      <c r="H276" s="48" t="s">
        <v>147</v>
      </c>
      <c r="I276" s="48" t="s">
        <v>31</v>
      </c>
      <c r="J276" s="51">
        <v>55100000</v>
      </c>
      <c r="K276" s="47" t="str">
        <f>'[1]გეგმა 2024'!C59</f>
        <v>სასტუმროს მომსახურება</v>
      </c>
      <c r="L276" s="53" t="s">
        <v>166</v>
      </c>
      <c r="M276" s="53" t="s">
        <v>579</v>
      </c>
    </row>
    <row r="277" spans="1:13" ht="157.5">
      <c r="A277" s="46">
        <v>275</v>
      </c>
      <c r="B277" s="47" t="s">
        <v>298</v>
      </c>
      <c r="C277" s="47" t="s">
        <v>207</v>
      </c>
      <c r="D277" s="48">
        <v>840</v>
      </c>
      <c r="E277" s="48">
        <f>840</f>
        <v>840</v>
      </c>
      <c r="F277" s="48">
        <f t="shared" si="4"/>
        <v>0</v>
      </c>
      <c r="G277" s="48" t="s">
        <v>568</v>
      </c>
      <c r="H277" s="48" t="s">
        <v>147</v>
      </c>
      <c r="I277" s="48" t="s">
        <v>31</v>
      </c>
      <c r="J277" s="51">
        <v>55100000</v>
      </c>
      <c r="K277" s="47" t="str">
        <f>'[1]გეგმა 2024'!C59</f>
        <v>სასტუმროს მომსახურება</v>
      </c>
      <c r="L277" s="53" t="s">
        <v>166</v>
      </c>
      <c r="M277" s="60" t="s">
        <v>580</v>
      </c>
    </row>
    <row r="278" spans="1:13" ht="42" customHeight="1">
      <c r="A278" s="21">
        <v>276</v>
      </c>
      <c r="B278" s="2" t="s">
        <v>581</v>
      </c>
      <c r="C278" s="2" t="s">
        <v>180</v>
      </c>
      <c r="D278" s="22">
        <v>640000</v>
      </c>
      <c r="E278" s="22">
        <f>460286.86+82851.63+80633.67+14514.06</f>
        <v>638286.22000000009</v>
      </c>
      <c r="F278" s="22">
        <f t="shared" si="4"/>
        <v>1713.7799999999115</v>
      </c>
      <c r="G278" s="78" t="s">
        <v>568</v>
      </c>
      <c r="H278" s="78" t="s">
        <v>147</v>
      </c>
      <c r="I278" s="78" t="s">
        <v>31</v>
      </c>
      <c r="J278" s="27">
        <v>79300000</v>
      </c>
      <c r="K278" s="2" t="str">
        <f>'[1]გეგმა 2024'!C87</f>
        <v>ბაზრის კვლევა და ეკონომიკური კვლევა გამოკითხვები და სტატისტიკა.</v>
      </c>
      <c r="L278" s="2" t="s">
        <v>108</v>
      </c>
      <c r="M278" s="34" t="s">
        <v>582</v>
      </c>
    </row>
    <row r="279" spans="1:13" ht="157.5">
      <c r="A279" s="46">
        <v>278</v>
      </c>
      <c r="B279" s="47" t="s">
        <v>211</v>
      </c>
      <c r="C279" s="47" t="s">
        <v>209</v>
      </c>
      <c r="D279" s="48">
        <f>168</f>
        <v>168</v>
      </c>
      <c r="E279" s="48">
        <f>168</f>
        <v>168</v>
      </c>
      <c r="F279" s="48">
        <f t="shared" si="4"/>
        <v>0</v>
      </c>
      <c r="G279" s="48" t="s">
        <v>583</v>
      </c>
      <c r="H279" s="48" t="s">
        <v>147</v>
      </c>
      <c r="I279" s="48" t="s">
        <v>31</v>
      </c>
      <c r="J279" s="51">
        <v>55300000</v>
      </c>
      <c r="K279" s="47" t="str">
        <f>'[1]გეგმა 2024'!C62</f>
        <v xml:space="preserve">რესტორნებისა და კვების საწარმოების მომსახურეობები </v>
      </c>
      <c r="L279" s="53" t="s">
        <v>166</v>
      </c>
      <c r="M279" s="53" t="s">
        <v>584</v>
      </c>
    </row>
    <row r="280" spans="1:13" ht="157.5">
      <c r="A280" s="46">
        <v>279</v>
      </c>
      <c r="B280" s="47" t="s">
        <v>384</v>
      </c>
      <c r="C280" s="47" t="s">
        <v>209</v>
      </c>
      <c r="D280" s="48">
        <f>199.45</f>
        <v>199.45</v>
      </c>
      <c r="E280" s="48">
        <f>199.45</f>
        <v>199.45</v>
      </c>
      <c r="F280" s="48">
        <f t="shared" si="4"/>
        <v>0</v>
      </c>
      <c r="G280" s="48" t="s">
        <v>583</v>
      </c>
      <c r="H280" s="48" t="s">
        <v>147</v>
      </c>
      <c r="I280" s="48" t="s">
        <v>31</v>
      </c>
      <c r="J280" s="51">
        <v>55300000</v>
      </c>
      <c r="K280" s="47" t="str">
        <f>'[1]გეგმა 2024'!C62</f>
        <v xml:space="preserve">რესტორნებისა და კვების საწარმოების მომსახურეობები </v>
      </c>
      <c r="L280" s="53" t="s">
        <v>166</v>
      </c>
      <c r="M280" s="53" t="s">
        <v>585</v>
      </c>
    </row>
    <row r="281" spans="1:13" ht="157.5">
      <c r="A281" s="46">
        <v>281</v>
      </c>
      <c r="B281" s="47" t="s">
        <v>586</v>
      </c>
      <c r="C281" s="47" t="s">
        <v>587</v>
      </c>
      <c r="D281" s="48">
        <v>950</v>
      </c>
      <c r="E281" s="48">
        <f>950</f>
        <v>950</v>
      </c>
      <c r="F281" s="48">
        <f t="shared" si="4"/>
        <v>0</v>
      </c>
      <c r="G281" s="48" t="s">
        <v>583</v>
      </c>
      <c r="H281" s="48" t="s">
        <v>147</v>
      </c>
      <c r="I281" s="48" t="s">
        <v>31</v>
      </c>
      <c r="J281" s="51">
        <v>18500000</v>
      </c>
      <c r="K281" s="47" t="str">
        <f>'[1]გეგმა 2024'!C16</f>
        <v>სამკაულები, საათები და მონათესავე ნივთები.</v>
      </c>
      <c r="L281" s="53" t="s">
        <v>166</v>
      </c>
      <c r="M281" s="60" t="s">
        <v>588</v>
      </c>
    </row>
    <row r="282" spans="1:13" ht="157.5">
      <c r="A282" s="46">
        <v>282</v>
      </c>
      <c r="B282" s="47" t="s">
        <v>358</v>
      </c>
      <c r="C282" s="47" t="s">
        <v>188</v>
      </c>
      <c r="D282" s="48">
        <v>3989</v>
      </c>
      <c r="E282" s="48">
        <f>3989</f>
        <v>3989</v>
      </c>
      <c r="F282" s="48">
        <f t="shared" si="4"/>
        <v>0</v>
      </c>
      <c r="G282" s="85" t="s">
        <v>589</v>
      </c>
      <c r="H282" s="48" t="s">
        <v>147</v>
      </c>
      <c r="I282" s="47" t="s">
        <v>31</v>
      </c>
      <c r="J282" s="51">
        <v>60100000</v>
      </c>
      <c r="K282" s="47" t="str">
        <f>'[1]გეგმა 2024'!C64</f>
        <v xml:space="preserve"> საავტომობილო ტრანსპორტის მომსახურებები</v>
      </c>
      <c r="L282" s="53" t="s">
        <v>166</v>
      </c>
      <c r="M282" s="68" t="s">
        <v>590</v>
      </c>
    </row>
    <row r="283" spans="1:13" ht="157.5">
      <c r="A283" s="46">
        <v>283</v>
      </c>
      <c r="B283" s="47" t="s">
        <v>591</v>
      </c>
      <c r="C283" s="47" t="s">
        <v>240</v>
      </c>
      <c r="D283" s="48">
        <v>2197</v>
      </c>
      <c r="E283" s="48">
        <f>43.94+430.61+1722.45</f>
        <v>2197</v>
      </c>
      <c r="F283" s="48">
        <f t="shared" si="4"/>
        <v>0</v>
      </c>
      <c r="G283" s="85" t="s">
        <v>589</v>
      </c>
      <c r="H283" s="48" t="s">
        <v>147</v>
      </c>
      <c r="I283" s="48" t="s">
        <v>31</v>
      </c>
      <c r="J283" s="51">
        <v>63500000</v>
      </c>
      <c r="K283" s="47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283" s="53" t="s">
        <v>166</v>
      </c>
      <c r="M283" s="68" t="s">
        <v>592</v>
      </c>
    </row>
    <row r="284" spans="1:13" ht="157.5">
      <c r="A284" s="46">
        <v>284</v>
      </c>
      <c r="B284" s="47" t="s">
        <v>593</v>
      </c>
      <c r="C284" s="47" t="s">
        <v>209</v>
      </c>
      <c r="D284" s="48">
        <v>2900</v>
      </c>
      <c r="E284" s="48">
        <f>2900</f>
        <v>2900</v>
      </c>
      <c r="F284" s="48">
        <f t="shared" si="4"/>
        <v>0</v>
      </c>
      <c r="G284" s="85" t="s">
        <v>589</v>
      </c>
      <c r="H284" s="48" t="s">
        <v>147</v>
      </c>
      <c r="I284" s="47" t="s">
        <v>31</v>
      </c>
      <c r="J284" s="51">
        <v>55300000</v>
      </c>
      <c r="K284" s="47" t="str">
        <f>'[1]გეგმა 2024'!C62</f>
        <v xml:space="preserve">რესტორნებისა და კვების საწარმოების მომსახურეობები </v>
      </c>
      <c r="L284" s="53" t="s">
        <v>166</v>
      </c>
      <c r="M284" s="53" t="s">
        <v>594</v>
      </c>
    </row>
    <row r="285" spans="1:13" ht="157.5">
      <c r="A285" s="46">
        <v>285</v>
      </c>
      <c r="B285" s="47" t="s">
        <v>595</v>
      </c>
      <c r="C285" s="47" t="s">
        <v>209</v>
      </c>
      <c r="D285" s="48">
        <f>338.8</f>
        <v>338.8</v>
      </c>
      <c r="E285" s="48">
        <f>338.8</f>
        <v>338.8</v>
      </c>
      <c r="F285" s="48">
        <f t="shared" si="4"/>
        <v>0</v>
      </c>
      <c r="G285" s="85" t="s">
        <v>589</v>
      </c>
      <c r="H285" s="48" t="s">
        <v>147</v>
      </c>
      <c r="I285" s="48" t="s">
        <v>31</v>
      </c>
      <c r="J285" s="51">
        <v>55300000</v>
      </c>
      <c r="K285" s="47" t="str">
        <f>'[1]გეგმა 2024'!C62</f>
        <v xml:space="preserve">რესტორნებისა და კვების საწარმოების მომსახურეობები </v>
      </c>
      <c r="L285" s="53" t="s">
        <v>166</v>
      </c>
      <c r="M285" s="86" t="s">
        <v>596</v>
      </c>
    </row>
    <row r="286" spans="1:13" ht="157.5">
      <c r="A286" s="46">
        <v>286</v>
      </c>
      <c r="B286" s="47" t="s">
        <v>597</v>
      </c>
      <c r="C286" s="47" t="s">
        <v>209</v>
      </c>
      <c r="D286" s="48">
        <v>2500</v>
      </c>
      <c r="E286" s="48">
        <f>2500</f>
        <v>2500</v>
      </c>
      <c r="F286" s="48">
        <f t="shared" si="4"/>
        <v>0</v>
      </c>
      <c r="G286" s="85" t="s">
        <v>589</v>
      </c>
      <c r="H286" s="48" t="s">
        <v>147</v>
      </c>
      <c r="I286" s="47" t="s">
        <v>31</v>
      </c>
      <c r="J286" s="51">
        <v>55300000</v>
      </c>
      <c r="K286" s="47" t="str">
        <f>'[1]გეგმა 2024'!C62</f>
        <v xml:space="preserve">რესტორნებისა და კვების საწარმოების მომსახურეობები </v>
      </c>
      <c r="L286" s="53" t="s">
        <v>166</v>
      </c>
      <c r="M286" s="53" t="s">
        <v>598</v>
      </c>
    </row>
    <row r="287" spans="1:13" ht="157.5">
      <c r="A287" s="46">
        <v>287</v>
      </c>
      <c r="B287" s="47" t="s">
        <v>599</v>
      </c>
      <c r="C287" s="47" t="s">
        <v>209</v>
      </c>
      <c r="D287" s="48">
        <f>310</f>
        <v>310</v>
      </c>
      <c r="E287" s="48">
        <f>310</f>
        <v>310</v>
      </c>
      <c r="F287" s="48">
        <f t="shared" si="4"/>
        <v>0</v>
      </c>
      <c r="G287" s="85" t="s">
        <v>600</v>
      </c>
      <c r="H287" s="48" t="s">
        <v>147</v>
      </c>
      <c r="I287" s="48" t="s">
        <v>31</v>
      </c>
      <c r="J287" s="51">
        <v>55300000</v>
      </c>
      <c r="K287" s="47" t="str">
        <f>'[1]გეგმა 2024'!C62</f>
        <v xml:space="preserve">რესტორნებისა და კვების საწარმოების მომსახურეობები </v>
      </c>
      <c r="L287" s="53" t="s">
        <v>166</v>
      </c>
      <c r="M287" s="53" t="s">
        <v>601</v>
      </c>
    </row>
    <row r="288" spans="1:13" ht="157.5">
      <c r="A288" s="46">
        <v>288</v>
      </c>
      <c r="B288" s="47" t="s">
        <v>602</v>
      </c>
      <c r="C288" s="47" t="s">
        <v>209</v>
      </c>
      <c r="D288" s="48">
        <f>174.9</f>
        <v>174.9</v>
      </c>
      <c r="E288" s="48">
        <f>174.9</f>
        <v>174.9</v>
      </c>
      <c r="F288" s="48">
        <f t="shared" si="4"/>
        <v>0</v>
      </c>
      <c r="G288" s="85" t="s">
        <v>600</v>
      </c>
      <c r="H288" s="48" t="s">
        <v>147</v>
      </c>
      <c r="I288" s="47" t="s">
        <v>31</v>
      </c>
      <c r="J288" s="51">
        <v>55300000</v>
      </c>
      <c r="K288" s="47" t="str">
        <f>'[1]გეგმა 2024'!C62</f>
        <v xml:space="preserve">რესტორნებისა და კვების საწარმოების მომსახურეობები </v>
      </c>
      <c r="L288" s="53" t="s">
        <v>166</v>
      </c>
      <c r="M288" s="53" t="s">
        <v>603</v>
      </c>
    </row>
    <row r="289" spans="1:13" ht="157.5">
      <c r="A289" s="46">
        <v>289</v>
      </c>
      <c r="B289" s="47" t="s">
        <v>604</v>
      </c>
      <c r="C289" s="47" t="s">
        <v>209</v>
      </c>
      <c r="D289" s="48">
        <v>500</v>
      </c>
      <c r="E289" s="48">
        <f>500</f>
        <v>500</v>
      </c>
      <c r="F289" s="48">
        <f t="shared" si="4"/>
        <v>0</v>
      </c>
      <c r="G289" s="85" t="s">
        <v>600</v>
      </c>
      <c r="H289" s="48" t="s">
        <v>147</v>
      </c>
      <c r="I289" s="48" t="s">
        <v>31</v>
      </c>
      <c r="J289" s="51">
        <v>55300000</v>
      </c>
      <c r="K289" s="47" t="str">
        <f>'[1]გეგმა 2024'!C62</f>
        <v xml:space="preserve">რესტორნებისა და კვების საწარმოების მომსახურეობები </v>
      </c>
      <c r="L289" s="53" t="s">
        <v>166</v>
      </c>
      <c r="M289" s="53" t="s">
        <v>605</v>
      </c>
    </row>
    <row r="290" spans="1:13" ht="157.5">
      <c r="A290" s="46">
        <v>290</v>
      </c>
      <c r="B290" s="47" t="s">
        <v>606</v>
      </c>
      <c r="C290" s="47" t="s">
        <v>188</v>
      </c>
      <c r="D290" s="48">
        <v>3120</v>
      </c>
      <c r="E290" s="48">
        <f>3120</f>
        <v>3120</v>
      </c>
      <c r="F290" s="48">
        <f t="shared" si="4"/>
        <v>0</v>
      </c>
      <c r="G290" s="85" t="s">
        <v>600</v>
      </c>
      <c r="H290" s="48" t="s">
        <v>147</v>
      </c>
      <c r="I290" s="47" t="s">
        <v>31</v>
      </c>
      <c r="J290" s="51">
        <v>60100000</v>
      </c>
      <c r="K290" s="47" t="str">
        <f>'[1]გეგმა 2024'!C64</f>
        <v xml:space="preserve"> საავტომობილო ტრანსპორტის მომსახურებები</v>
      </c>
      <c r="L290" s="53" t="s">
        <v>166</v>
      </c>
      <c r="M290" s="53" t="s">
        <v>607</v>
      </c>
    </row>
    <row r="291" spans="1:13" ht="157.5">
      <c r="A291" s="46">
        <v>291</v>
      </c>
      <c r="B291" s="47" t="s">
        <v>608</v>
      </c>
      <c r="C291" s="47" t="s">
        <v>207</v>
      </c>
      <c r="D291" s="48">
        <v>2250</v>
      </c>
      <c r="E291" s="48">
        <f>2250</f>
        <v>2250</v>
      </c>
      <c r="F291" s="48">
        <f t="shared" si="4"/>
        <v>0</v>
      </c>
      <c r="G291" s="85" t="s">
        <v>600</v>
      </c>
      <c r="H291" s="48" t="s">
        <v>147</v>
      </c>
      <c r="I291" s="48" t="s">
        <v>31</v>
      </c>
      <c r="J291" s="51">
        <v>55100000</v>
      </c>
      <c r="K291" s="47" t="str">
        <f>'[1]გეგმა 2024'!C59</f>
        <v>სასტუმროს მომსახურება</v>
      </c>
      <c r="L291" s="53" t="s">
        <v>166</v>
      </c>
      <c r="M291" s="60" t="s">
        <v>609</v>
      </c>
    </row>
    <row r="292" spans="1:13" ht="157.5">
      <c r="A292" s="46">
        <v>293</v>
      </c>
      <c r="B292" s="47" t="s">
        <v>610</v>
      </c>
      <c r="C292" s="47" t="s">
        <v>209</v>
      </c>
      <c r="D292" s="48">
        <v>1680</v>
      </c>
      <c r="E292" s="48">
        <f>1680</f>
        <v>1680</v>
      </c>
      <c r="F292" s="48">
        <f t="shared" si="4"/>
        <v>0</v>
      </c>
      <c r="G292" s="85" t="s">
        <v>600</v>
      </c>
      <c r="H292" s="48" t="s">
        <v>147</v>
      </c>
      <c r="I292" s="48" t="s">
        <v>31</v>
      </c>
      <c r="J292" s="51">
        <v>55300000</v>
      </c>
      <c r="K292" s="47" t="str">
        <f>'[1]გეგმა 2024'!C62</f>
        <v xml:space="preserve">რესტორნებისა და კვების საწარმოების მომსახურეობები </v>
      </c>
      <c r="L292" s="53" t="s">
        <v>166</v>
      </c>
      <c r="M292" s="60" t="s">
        <v>611</v>
      </c>
    </row>
    <row r="293" spans="1:13" ht="157.5">
      <c r="A293" s="46">
        <v>294</v>
      </c>
      <c r="B293" s="47" t="s">
        <v>612</v>
      </c>
      <c r="C293" s="47" t="s">
        <v>613</v>
      </c>
      <c r="D293" s="48">
        <v>42.8</v>
      </c>
      <c r="E293" s="48">
        <f>42.8</f>
        <v>42.8</v>
      </c>
      <c r="F293" s="48">
        <f t="shared" si="4"/>
        <v>0</v>
      </c>
      <c r="G293" s="85" t="s">
        <v>600</v>
      </c>
      <c r="H293" s="48" t="s">
        <v>147</v>
      </c>
      <c r="I293" s="47" t="s">
        <v>31</v>
      </c>
      <c r="J293" s="51">
        <v>15800000</v>
      </c>
      <c r="K293" s="47" t="str">
        <f>'[1]გეგმა 2024'!C12</f>
        <v>სხვადასხვა საკვები პროდუქტი</v>
      </c>
      <c r="L293" s="53" t="s">
        <v>166</v>
      </c>
      <c r="M293" s="88" t="s">
        <v>614</v>
      </c>
    </row>
    <row r="294" spans="1:13" ht="303.75">
      <c r="A294" s="46">
        <v>295</v>
      </c>
      <c r="B294" s="47" t="s">
        <v>615</v>
      </c>
      <c r="C294" s="47" t="s">
        <v>616</v>
      </c>
      <c r="D294" s="48">
        <f>2365.79</f>
        <v>2365.79</v>
      </c>
      <c r="E294" s="48">
        <f>2365.79</f>
        <v>2365.79</v>
      </c>
      <c r="F294" s="48">
        <f t="shared" si="4"/>
        <v>0</v>
      </c>
      <c r="G294" s="85" t="s">
        <v>600</v>
      </c>
      <c r="H294" s="48" t="s">
        <v>147</v>
      </c>
      <c r="I294" s="48" t="s">
        <v>31</v>
      </c>
      <c r="J294" s="89">
        <v>15900000</v>
      </c>
      <c r="K294" s="47" t="str">
        <f>'[1]გეგმა 2024'!C14</f>
        <v>სასმელი, თამბაქო და მონათესავე პროდუქტები (ღვინო).</v>
      </c>
      <c r="L294" s="47" t="s">
        <v>108</v>
      </c>
      <c r="M294" s="90" t="s">
        <v>617</v>
      </c>
    </row>
    <row r="295" spans="1:13" ht="157.5">
      <c r="A295" s="46">
        <v>296</v>
      </c>
      <c r="B295" s="47" t="s">
        <v>618</v>
      </c>
      <c r="C295" s="47" t="s">
        <v>209</v>
      </c>
      <c r="D295" s="48">
        <f>66</f>
        <v>66</v>
      </c>
      <c r="E295" s="48">
        <f>66</f>
        <v>66</v>
      </c>
      <c r="F295" s="48">
        <f t="shared" si="4"/>
        <v>0</v>
      </c>
      <c r="G295" s="85" t="s">
        <v>600</v>
      </c>
      <c r="H295" s="48" t="s">
        <v>147</v>
      </c>
      <c r="I295" s="48" t="s">
        <v>31</v>
      </c>
      <c r="J295" s="51">
        <v>55300000</v>
      </c>
      <c r="K295" s="47" t="str">
        <f>'[1]გეგმა 2024'!C62</f>
        <v xml:space="preserve">რესტორნებისა და კვების საწარმოების მომსახურეობები </v>
      </c>
      <c r="L295" s="53" t="s">
        <v>166</v>
      </c>
      <c r="M295" s="53" t="s">
        <v>619</v>
      </c>
    </row>
    <row r="296" spans="1:13" ht="157.5">
      <c r="A296" s="46">
        <v>297</v>
      </c>
      <c r="B296" s="47" t="s">
        <v>365</v>
      </c>
      <c r="C296" s="47" t="s">
        <v>209</v>
      </c>
      <c r="D296" s="48">
        <v>2500</v>
      </c>
      <c r="E296" s="48">
        <f>2500</f>
        <v>2500</v>
      </c>
      <c r="F296" s="48">
        <f t="shared" si="4"/>
        <v>0</v>
      </c>
      <c r="G296" s="85" t="s">
        <v>600</v>
      </c>
      <c r="H296" s="48" t="s">
        <v>147</v>
      </c>
      <c r="I296" s="48" t="s">
        <v>31</v>
      </c>
      <c r="J296" s="51">
        <v>55300000</v>
      </c>
      <c r="K296" s="47" t="str">
        <f>'[1]გეგმა 2024'!C62</f>
        <v xml:space="preserve">რესტორნებისა და კვების საწარმოების მომსახურეობები </v>
      </c>
      <c r="L296" s="53" t="s">
        <v>166</v>
      </c>
      <c r="M296" s="53" t="s">
        <v>620</v>
      </c>
    </row>
    <row r="297" spans="1:13" ht="157.5">
      <c r="A297" s="46">
        <v>298</v>
      </c>
      <c r="B297" s="47" t="s">
        <v>621</v>
      </c>
      <c r="C297" s="47" t="s">
        <v>209</v>
      </c>
      <c r="D297" s="48">
        <v>2500</v>
      </c>
      <c r="E297" s="48">
        <f>2500</f>
        <v>2500</v>
      </c>
      <c r="F297" s="48">
        <f t="shared" si="4"/>
        <v>0</v>
      </c>
      <c r="G297" s="85" t="s">
        <v>600</v>
      </c>
      <c r="H297" s="48" t="s">
        <v>147</v>
      </c>
      <c r="I297" s="48" t="s">
        <v>31</v>
      </c>
      <c r="J297" s="51">
        <v>55300000</v>
      </c>
      <c r="K297" s="47" t="str">
        <f>'[1]გეგმა 2024'!C62</f>
        <v xml:space="preserve">რესტორნებისა და კვების საწარმოების მომსახურეობები </v>
      </c>
      <c r="L297" s="53" t="s">
        <v>166</v>
      </c>
      <c r="M297" s="90" t="s">
        <v>622</v>
      </c>
    </row>
    <row r="298" spans="1:13" ht="157.5">
      <c r="A298" s="46">
        <v>299</v>
      </c>
      <c r="B298" s="47" t="s">
        <v>623</v>
      </c>
      <c r="C298" s="47" t="s">
        <v>209</v>
      </c>
      <c r="D298" s="48">
        <v>2500</v>
      </c>
      <c r="E298" s="48">
        <f>2500</f>
        <v>2500</v>
      </c>
      <c r="F298" s="48">
        <f t="shared" si="4"/>
        <v>0</v>
      </c>
      <c r="G298" s="85" t="s">
        <v>600</v>
      </c>
      <c r="H298" s="48" t="s">
        <v>147</v>
      </c>
      <c r="I298" s="48" t="s">
        <v>31</v>
      </c>
      <c r="J298" s="51">
        <v>55300000</v>
      </c>
      <c r="K298" s="47" t="str">
        <f>'[1]გეგმა 2024'!C62</f>
        <v xml:space="preserve">რესტორნებისა და კვების საწარმოების მომსახურეობები </v>
      </c>
      <c r="L298" s="53" t="s">
        <v>166</v>
      </c>
      <c r="M298" s="53" t="s">
        <v>624</v>
      </c>
    </row>
    <row r="299" spans="1:13" ht="157.5">
      <c r="A299" s="46">
        <v>300</v>
      </c>
      <c r="B299" s="47" t="s">
        <v>625</v>
      </c>
      <c r="C299" s="47" t="s">
        <v>313</v>
      </c>
      <c r="D299" s="48">
        <v>250</v>
      </c>
      <c r="E299" s="48">
        <f>250</f>
        <v>250</v>
      </c>
      <c r="F299" s="48">
        <f t="shared" si="4"/>
        <v>0</v>
      </c>
      <c r="G299" s="85" t="s">
        <v>600</v>
      </c>
      <c r="H299" s="48" t="s">
        <v>147</v>
      </c>
      <c r="I299" s="48" t="s">
        <v>31</v>
      </c>
      <c r="J299" s="51">
        <v>55300000</v>
      </c>
      <c r="K299" s="47" t="str">
        <f>'[1]გეგმა 2024'!C62</f>
        <v xml:space="preserve">რესტორნებისა და კვების საწარმოების მომსახურეობები </v>
      </c>
      <c r="L299" s="53" t="s">
        <v>166</v>
      </c>
      <c r="M299" s="53" t="s">
        <v>626</v>
      </c>
    </row>
    <row r="300" spans="1:13" ht="157.5">
      <c r="A300" s="46">
        <v>301</v>
      </c>
      <c r="B300" s="47" t="s">
        <v>625</v>
      </c>
      <c r="C300" s="47" t="s">
        <v>627</v>
      </c>
      <c r="D300" s="48">
        <v>500</v>
      </c>
      <c r="E300" s="48">
        <f>500</f>
        <v>500</v>
      </c>
      <c r="F300" s="48">
        <f t="shared" si="4"/>
        <v>0</v>
      </c>
      <c r="G300" s="85" t="s">
        <v>600</v>
      </c>
      <c r="H300" s="48" t="s">
        <v>147</v>
      </c>
      <c r="I300" s="48" t="s">
        <v>31</v>
      </c>
      <c r="J300" s="51">
        <v>55400000</v>
      </c>
      <c r="K300" s="47" t="str">
        <f>'[1]გეგმა 2024'!C63</f>
        <v>სასმელების მიტანის მომსახურება</v>
      </c>
      <c r="L300" s="53" t="s">
        <v>166</v>
      </c>
      <c r="M300" s="53" t="s">
        <v>628</v>
      </c>
    </row>
    <row r="301" spans="1:13" ht="157.5">
      <c r="A301" s="46">
        <v>302</v>
      </c>
      <c r="B301" s="47" t="s">
        <v>513</v>
      </c>
      <c r="C301" s="47" t="s">
        <v>209</v>
      </c>
      <c r="D301" s="48">
        <v>500</v>
      </c>
      <c r="E301" s="48">
        <f>500</f>
        <v>500</v>
      </c>
      <c r="F301" s="48">
        <f t="shared" si="4"/>
        <v>0</v>
      </c>
      <c r="G301" s="85" t="s">
        <v>600</v>
      </c>
      <c r="H301" s="48" t="s">
        <v>147</v>
      </c>
      <c r="I301" s="48" t="s">
        <v>31</v>
      </c>
      <c r="J301" s="51">
        <v>55300000</v>
      </c>
      <c r="K301" s="47" t="str">
        <f>'[1]გეგმა 2024'!C62</f>
        <v xml:space="preserve">რესტორნებისა და კვების საწარმოების მომსახურეობები </v>
      </c>
      <c r="L301" s="53" t="s">
        <v>166</v>
      </c>
      <c r="M301" s="53" t="s">
        <v>629</v>
      </c>
    </row>
    <row r="302" spans="1:13" ht="157.5">
      <c r="A302" s="46">
        <v>303</v>
      </c>
      <c r="B302" s="47" t="s">
        <v>405</v>
      </c>
      <c r="C302" s="47" t="s">
        <v>209</v>
      </c>
      <c r="D302" s="48">
        <v>500</v>
      </c>
      <c r="E302" s="48">
        <f>500</f>
        <v>500</v>
      </c>
      <c r="F302" s="48">
        <f t="shared" si="4"/>
        <v>0</v>
      </c>
      <c r="G302" s="85" t="s">
        <v>600</v>
      </c>
      <c r="H302" s="48" t="s">
        <v>147</v>
      </c>
      <c r="I302" s="48" t="s">
        <v>31</v>
      </c>
      <c r="J302" s="51">
        <v>55300000</v>
      </c>
      <c r="K302" s="47" t="str">
        <f>'[1]გეგმა 2024'!C62</f>
        <v xml:space="preserve">რესტორნებისა და კვების საწარმოების მომსახურეობები </v>
      </c>
      <c r="L302" s="53" t="s">
        <v>166</v>
      </c>
      <c r="M302" s="53" t="s">
        <v>630</v>
      </c>
    </row>
    <row r="303" spans="1:13" ht="157.5">
      <c r="A303" s="46">
        <v>304</v>
      </c>
      <c r="B303" s="47" t="s">
        <v>292</v>
      </c>
      <c r="C303" s="47" t="s">
        <v>209</v>
      </c>
      <c r="D303" s="48">
        <f>497.96</f>
        <v>497.96</v>
      </c>
      <c r="E303" s="48">
        <f>497.96</f>
        <v>497.96</v>
      </c>
      <c r="F303" s="48">
        <f t="shared" si="4"/>
        <v>0</v>
      </c>
      <c r="G303" s="85" t="s">
        <v>600</v>
      </c>
      <c r="H303" s="48" t="s">
        <v>147</v>
      </c>
      <c r="I303" s="48" t="s">
        <v>31</v>
      </c>
      <c r="J303" s="51">
        <v>55300000</v>
      </c>
      <c r="K303" s="47" t="str">
        <f>'[1]გეგმა 2024'!C62</f>
        <v xml:space="preserve">რესტორნებისა და კვების საწარმოების მომსახურეობები </v>
      </c>
      <c r="L303" s="53" t="s">
        <v>166</v>
      </c>
      <c r="M303" s="53" t="s">
        <v>631</v>
      </c>
    </row>
    <row r="304" spans="1:13" ht="157.5">
      <c r="A304" s="46">
        <v>305</v>
      </c>
      <c r="B304" s="47" t="s">
        <v>618</v>
      </c>
      <c r="C304" s="47" t="s">
        <v>209</v>
      </c>
      <c r="D304" s="48">
        <f>199</f>
        <v>199</v>
      </c>
      <c r="E304" s="48">
        <f>199</f>
        <v>199</v>
      </c>
      <c r="F304" s="48">
        <f t="shared" si="4"/>
        <v>0</v>
      </c>
      <c r="G304" s="85" t="s">
        <v>600</v>
      </c>
      <c r="H304" s="48" t="s">
        <v>147</v>
      </c>
      <c r="I304" s="48" t="s">
        <v>31</v>
      </c>
      <c r="J304" s="51">
        <v>55300000</v>
      </c>
      <c r="K304" s="47" t="str">
        <f>'[1]გეგმა 2024'!C62</f>
        <v xml:space="preserve">რესტორნებისა და კვების საწარმოების მომსახურეობები </v>
      </c>
      <c r="L304" s="53" t="s">
        <v>166</v>
      </c>
      <c r="M304" s="60" t="s">
        <v>632</v>
      </c>
    </row>
    <row r="305" spans="1:13" ht="157.5">
      <c r="A305" s="46">
        <v>306</v>
      </c>
      <c r="B305" s="47" t="s">
        <v>633</v>
      </c>
      <c r="C305" s="47" t="s">
        <v>188</v>
      </c>
      <c r="D305" s="48">
        <v>2995</v>
      </c>
      <c r="E305" s="48">
        <f>2995</f>
        <v>2995</v>
      </c>
      <c r="F305" s="48">
        <f t="shared" si="4"/>
        <v>0</v>
      </c>
      <c r="G305" s="85" t="s">
        <v>600</v>
      </c>
      <c r="H305" s="48" t="s">
        <v>147</v>
      </c>
      <c r="I305" s="48" t="s">
        <v>31</v>
      </c>
      <c r="J305" s="51">
        <v>60100000</v>
      </c>
      <c r="K305" s="47" t="str">
        <f>'[1]გეგმა 2024'!C64</f>
        <v xml:space="preserve"> საავტომობილო ტრანსპორტის მომსახურებები</v>
      </c>
      <c r="L305" s="53" t="s">
        <v>166</v>
      </c>
      <c r="M305" s="60" t="s">
        <v>634</v>
      </c>
    </row>
    <row r="306" spans="1:13" ht="157.5">
      <c r="A306" s="46">
        <v>307</v>
      </c>
      <c r="B306" s="47" t="s">
        <v>593</v>
      </c>
      <c r="C306" s="47" t="s">
        <v>207</v>
      </c>
      <c r="D306" s="48">
        <v>4296</v>
      </c>
      <c r="E306" s="48">
        <f>4296</f>
        <v>4296</v>
      </c>
      <c r="F306" s="48">
        <f t="shared" si="4"/>
        <v>0</v>
      </c>
      <c r="G306" s="85" t="s">
        <v>600</v>
      </c>
      <c r="H306" s="48" t="s">
        <v>147</v>
      </c>
      <c r="I306" s="48" t="s">
        <v>31</v>
      </c>
      <c r="J306" s="51">
        <v>55100000</v>
      </c>
      <c r="K306" s="47" t="str">
        <f>'[1]გეგმა 2024'!C59</f>
        <v>სასტუმროს მომსახურება</v>
      </c>
      <c r="L306" s="53" t="s">
        <v>166</v>
      </c>
      <c r="M306" s="53" t="s">
        <v>635</v>
      </c>
    </row>
    <row r="307" spans="1:13" ht="157.5">
      <c r="A307" s="46">
        <v>308</v>
      </c>
      <c r="B307" s="47" t="s">
        <v>593</v>
      </c>
      <c r="C307" s="47" t="s">
        <v>209</v>
      </c>
      <c r="D307" s="48">
        <v>3840</v>
      </c>
      <c r="E307" s="48">
        <f>3840</f>
        <v>3840</v>
      </c>
      <c r="F307" s="48">
        <f t="shared" si="4"/>
        <v>0</v>
      </c>
      <c r="G307" s="85" t="s">
        <v>600</v>
      </c>
      <c r="H307" s="48" t="s">
        <v>147</v>
      </c>
      <c r="I307" s="48" t="s">
        <v>31</v>
      </c>
      <c r="J307" s="51">
        <v>55300000</v>
      </c>
      <c r="K307" s="47" t="str">
        <f>'[1]გეგმა 2024'!C62</f>
        <v xml:space="preserve">რესტორნებისა და კვების საწარმოების მომსახურეობები </v>
      </c>
      <c r="L307" s="53" t="s">
        <v>166</v>
      </c>
      <c r="M307" s="90" t="s">
        <v>636</v>
      </c>
    </row>
    <row r="308" spans="1:13" ht="349.5">
      <c r="A308" s="46">
        <v>309</v>
      </c>
      <c r="B308" s="47" t="s">
        <v>555</v>
      </c>
      <c r="C308" s="91" t="s">
        <v>556</v>
      </c>
      <c r="D308" s="48">
        <v>400</v>
      </c>
      <c r="E308" s="48">
        <f>400</f>
        <v>400</v>
      </c>
      <c r="F308" s="48">
        <f t="shared" si="4"/>
        <v>0</v>
      </c>
      <c r="G308" s="85" t="s">
        <v>637</v>
      </c>
      <c r="H308" s="48" t="s">
        <v>147</v>
      </c>
      <c r="I308" s="48" t="s">
        <v>31</v>
      </c>
      <c r="J308" s="89">
        <v>65100000</v>
      </c>
      <c r="K308" s="47" t="str">
        <f>'[1]გეგმა 2024'!C74</f>
        <v>წყლის განაწილება და მასთან დაკავშირებული მომსახურებები</v>
      </c>
      <c r="L308" s="53" t="s">
        <v>78</v>
      </c>
      <c r="M308" s="53" t="s">
        <v>638</v>
      </c>
    </row>
    <row r="309" spans="1:13" ht="157.5">
      <c r="A309" s="46">
        <v>310</v>
      </c>
      <c r="B309" s="47" t="s">
        <v>639</v>
      </c>
      <c r="C309" s="47" t="s">
        <v>207</v>
      </c>
      <c r="D309" s="48">
        <v>1050</v>
      </c>
      <c r="E309" s="48">
        <f>1050</f>
        <v>1050</v>
      </c>
      <c r="F309" s="48">
        <f t="shared" si="4"/>
        <v>0</v>
      </c>
      <c r="G309" s="85" t="s">
        <v>637</v>
      </c>
      <c r="H309" s="48" t="s">
        <v>147</v>
      </c>
      <c r="I309" s="48" t="s">
        <v>31</v>
      </c>
      <c r="J309" s="51">
        <v>55100000</v>
      </c>
      <c r="K309" s="47" t="str">
        <f>'[1]გეგმა 2024'!C59</f>
        <v>სასტუმროს მომსახურება</v>
      </c>
      <c r="L309" s="53" t="s">
        <v>166</v>
      </c>
      <c r="M309" s="90" t="s">
        <v>640</v>
      </c>
    </row>
    <row r="310" spans="1:13" ht="157.5">
      <c r="A310" s="46">
        <v>311</v>
      </c>
      <c r="B310" s="47" t="s">
        <v>641</v>
      </c>
      <c r="C310" s="47" t="s">
        <v>207</v>
      </c>
      <c r="D310" s="48">
        <v>360</v>
      </c>
      <c r="E310" s="48">
        <f>360</f>
        <v>360</v>
      </c>
      <c r="F310" s="48">
        <f t="shared" si="4"/>
        <v>0</v>
      </c>
      <c r="G310" s="85" t="s">
        <v>637</v>
      </c>
      <c r="H310" s="48" t="s">
        <v>147</v>
      </c>
      <c r="I310" s="48" t="s">
        <v>31</v>
      </c>
      <c r="J310" s="51">
        <v>55100000</v>
      </c>
      <c r="K310" s="47" t="str">
        <f>'[1]გეგმა 2024'!C59</f>
        <v>სასტუმროს მომსახურება</v>
      </c>
      <c r="L310" s="53" t="s">
        <v>166</v>
      </c>
      <c r="M310" s="90" t="s">
        <v>642</v>
      </c>
    </row>
    <row r="311" spans="1:13" ht="65.25" customHeight="1">
      <c r="A311" s="46">
        <v>313</v>
      </c>
      <c r="B311" s="47" t="s">
        <v>284</v>
      </c>
      <c r="C311" s="47" t="s">
        <v>188</v>
      </c>
      <c r="D311" s="48">
        <v>15360</v>
      </c>
      <c r="E311" s="48">
        <f>15360</f>
        <v>15360</v>
      </c>
      <c r="F311" s="48">
        <f t="shared" ref="F311:F372" si="5">D311-E311</f>
        <v>0</v>
      </c>
      <c r="G311" s="85" t="s">
        <v>637</v>
      </c>
      <c r="H311" s="48" t="s">
        <v>147</v>
      </c>
      <c r="I311" s="48" t="s">
        <v>31</v>
      </c>
      <c r="J311" s="51">
        <v>60100000</v>
      </c>
      <c r="K311" s="47" t="str">
        <f>'[1]გეგმა 2024'!C64</f>
        <v xml:space="preserve"> საავტომობილო ტრანსპორტის მომსახურებები</v>
      </c>
      <c r="L311" s="53" t="s">
        <v>166</v>
      </c>
      <c r="M311" s="90" t="s">
        <v>643</v>
      </c>
    </row>
    <row r="312" spans="1:13" ht="69" customHeight="1">
      <c r="A312" s="46">
        <v>314</v>
      </c>
      <c r="B312" s="47" t="s">
        <v>644</v>
      </c>
      <c r="C312" s="47" t="s">
        <v>240</v>
      </c>
      <c r="D312" s="48">
        <v>8930</v>
      </c>
      <c r="E312" s="48">
        <f>7001.12+178.6+1750.28</f>
        <v>8930</v>
      </c>
      <c r="F312" s="48">
        <f t="shared" si="5"/>
        <v>0</v>
      </c>
      <c r="G312" s="85" t="s">
        <v>637</v>
      </c>
      <c r="H312" s="48" t="s">
        <v>147</v>
      </c>
      <c r="I312" s="48" t="s">
        <v>31</v>
      </c>
      <c r="J312" s="51">
        <v>63500000</v>
      </c>
      <c r="K312" s="47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312" s="53" t="s">
        <v>166</v>
      </c>
      <c r="M312" s="90" t="s">
        <v>645</v>
      </c>
    </row>
    <row r="313" spans="1:13" ht="61.5" customHeight="1">
      <c r="A313" s="46">
        <v>315</v>
      </c>
      <c r="B313" s="47" t="s">
        <v>416</v>
      </c>
      <c r="C313" s="47" t="s">
        <v>290</v>
      </c>
      <c r="D313" s="48">
        <v>38250</v>
      </c>
      <c r="E313" s="48">
        <f>38250</f>
        <v>38250</v>
      </c>
      <c r="F313" s="48">
        <f t="shared" si="5"/>
        <v>0</v>
      </c>
      <c r="G313" s="85" t="s">
        <v>646</v>
      </c>
      <c r="H313" s="48" t="s">
        <v>147</v>
      </c>
      <c r="I313" s="48" t="s">
        <v>31</v>
      </c>
      <c r="J313" s="51">
        <v>55300000</v>
      </c>
      <c r="K313" s="47" t="str">
        <f>'[1]გეგმა 2024'!C62</f>
        <v xml:space="preserve">რესტორნებისა და კვების საწარმოების მომსახურეობები </v>
      </c>
      <c r="L313" s="53" t="s">
        <v>166</v>
      </c>
      <c r="M313" s="53" t="s">
        <v>647</v>
      </c>
    </row>
    <row r="314" spans="1:13" ht="78" customHeight="1">
      <c r="A314" s="46">
        <v>316</v>
      </c>
      <c r="B314" s="47" t="s">
        <v>648</v>
      </c>
      <c r="C314" s="47" t="s">
        <v>649</v>
      </c>
      <c r="D314" s="48">
        <v>50660.2</v>
      </c>
      <c r="E314" s="48">
        <f>50660.2</f>
        <v>50660.2</v>
      </c>
      <c r="F314" s="48">
        <f t="shared" si="5"/>
        <v>0</v>
      </c>
      <c r="G314" s="85" t="s">
        <v>646</v>
      </c>
      <c r="H314" s="48" t="s">
        <v>147</v>
      </c>
      <c r="I314" s="48" t="s">
        <v>31</v>
      </c>
      <c r="J314" s="89">
        <v>80500000</v>
      </c>
      <c r="K314" s="47" t="str">
        <f>'[1]გეგმა 2024'!C103</f>
        <v>სატრენინგო მომსახურებები.</v>
      </c>
      <c r="L314" s="53" t="s">
        <v>108</v>
      </c>
      <c r="M314" s="53" t="s">
        <v>650</v>
      </c>
    </row>
    <row r="315" spans="1:13" ht="79.5" customHeight="1">
      <c r="A315" s="46">
        <v>317</v>
      </c>
      <c r="B315" s="47" t="s">
        <v>651</v>
      </c>
      <c r="C315" s="80" t="s">
        <v>652</v>
      </c>
      <c r="D315" s="48">
        <v>21240</v>
      </c>
      <c r="E315" s="48">
        <f>21240</f>
        <v>21240</v>
      </c>
      <c r="F315" s="48">
        <f t="shared" si="5"/>
        <v>0</v>
      </c>
      <c r="G315" s="85" t="s">
        <v>646</v>
      </c>
      <c r="H315" s="48" t="s">
        <v>147</v>
      </c>
      <c r="I315" s="48" t="s">
        <v>31</v>
      </c>
      <c r="J315" s="89">
        <v>79400000</v>
      </c>
      <c r="K315" s="47" t="str">
        <f>'[1]გეგმა 2024'!C91</f>
        <v>ბიზნესსა და მენეჯმენტთან დაკავშირებული კონსულტაციები და მომსახურებები.</v>
      </c>
      <c r="L315" s="47" t="s">
        <v>108</v>
      </c>
      <c r="M315" s="53" t="s">
        <v>653</v>
      </c>
    </row>
    <row r="316" spans="1:13" ht="54.75" customHeight="1">
      <c r="A316" s="46">
        <v>318</v>
      </c>
      <c r="B316" s="47" t="s">
        <v>654</v>
      </c>
      <c r="C316" s="47" t="s">
        <v>655</v>
      </c>
      <c r="D316" s="48">
        <v>22656</v>
      </c>
      <c r="E316" s="48">
        <f>22656</f>
        <v>22656</v>
      </c>
      <c r="F316" s="48">
        <f t="shared" si="5"/>
        <v>0</v>
      </c>
      <c r="G316" s="85" t="s">
        <v>646</v>
      </c>
      <c r="H316" s="48" t="s">
        <v>147</v>
      </c>
      <c r="I316" s="48" t="s">
        <v>31</v>
      </c>
      <c r="J316" s="89">
        <v>92100000</v>
      </c>
      <c r="K316" s="47" t="str">
        <f>'[1]გეგმა 2024'!C107</f>
        <v>კინო- და ვიდეომომსახურებები</v>
      </c>
      <c r="L316" s="47" t="s">
        <v>108</v>
      </c>
      <c r="M316" s="53" t="s">
        <v>656</v>
      </c>
    </row>
    <row r="317" spans="1:13" ht="63.75" customHeight="1">
      <c r="A317" s="21">
        <v>319</v>
      </c>
      <c r="B317" s="2" t="s">
        <v>654</v>
      </c>
      <c r="C317" s="2" t="s">
        <v>657</v>
      </c>
      <c r="D317" s="22">
        <v>39176</v>
      </c>
      <c r="E317" s="22">
        <f>20296+1180+2360</f>
        <v>23836</v>
      </c>
      <c r="F317" s="22">
        <f t="shared" si="5"/>
        <v>15340</v>
      </c>
      <c r="G317" s="92" t="s">
        <v>646</v>
      </c>
      <c r="H317" s="78" t="s">
        <v>147</v>
      </c>
      <c r="I317" s="78" t="s">
        <v>31</v>
      </c>
      <c r="J317" s="93">
        <v>72400000</v>
      </c>
      <c r="K317" s="2" t="str">
        <f>'[1]გეგმა 2024'!C81</f>
        <v>ინტერნეტ მომსახურებები.</v>
      </c>
      <c r="L317" s="2" t="s">
        <v>108</v>
      </c>
      <c r="M317" s="24" t="s">
        <v>658</v>
      </c>
    </row>
    <row r="318" spans="1:13" ht="70.5" customHeight="1">
      <c r="A318" s="21">
        <v>319</v>
      </c>
      <c r="B318" s="2" t="s">
        <v>654</v>
      </c>
      <c r="C318" s="2" t="s">
        <v>659</v>
      </c>
      <c r="D318" s="22">
        <v>3540</v>
      </c>
      <c r="E318" s="22"/>
      <c r="F318" s="22">
        <f t="shared" si="5"/>
        <v>3540</v>
      </c>
      <c r="G318" s="92" t="s">
        <v>646</v>
      </c>
      <c r="H318" s="78" t="s">
        <v>147</v>
      </c>
      <c r="I318" s="78" t="s">
        <v>31</v>
      </c>
      <c r="J318" s="93">
        <v>92100000</v>
      </c>
      <c r="K318" s="2" t="str">
        <f>'[1]გეგმა 2024'!C107</f>
        <v>კინო- და ვიდეომომსახურებები</v>
      </c>
      <c r="L318" s="2" t="s">
        <v>108</v>
      </c>
      <c r="M318" s="24" t="s">
        <v>658</v>
      </c>
    </row>
    <row r="319" spans="1:13" ht="66" customHeight="1">
      <c r="A319" s="46">
        <v>320</v>
      </c>
      <c r="B319" s="47" t="s">
        <v>660</v>
      </c>
      <c r="C319" s="47" t="s">
        <v>209</v>
      </c>
      <c r="D319" s="48">
        <f>166.1</f>
        <v>166.1</v>
      </c>
      <c r="E319" s="48">
        <f>166.1</f>
        <v>166.1</v>
      </c>
      <c r="F319" s="48">
        <f t="shared" si="5"/>
        <v>0</v>
      </c>
      <c r="G319" s="85" t="s">
        <v>661</v>
      </c>
      <c r="H319" s="48" t="s">
        <v>147</v>
      </c>
      <c r="I319" s="48" t="s">
        <v>31</v>
      </c>
      <c r="J319" s="51">
        <v>55300000</v>
      </c>
      <c r="K319" s="47" t="str">
        <f>'[1]გეგმა 2024'!C62</f>
        <v xml:space="preserve">რესტორნებისა და კვების საწარმოების მომსახურეობები </v>
      </c>
      <c r="L319" s="53" t="s">
        <v>166</v>
      </c>
      <c r="M319" s="60" t="s">
        <v>662</v>
      </c>
    </row>
    <row r="320" spans="1:13" ht="40.5" customHeight="1">
      <c r="A320" s="46">
        <v>321</v>
      </c>
      <c r="B320" s="47" t="s">
        <v>171</v>
      </c>
      <c r="C320" s="47" t="s">
        <v>172</v>
      </c>
      <c r="D320" s="48">
        <v>140.4</v>
      </c>
      <c r="E320" s="48">
        <f>140.4</f>
        <v>140.4</v>
      </c>
      <c r="F320" s="48">
        <f t="shared" si="5"/>
        <v>0</v>
      </c>
      <c r="G320" s="85" t="s">
        <v>661</v>
      </c>
      <c r="H320" s="48" t="s">
        <v>147</v>
      </c>
      <c r="I320" s="48" t="s">
        <v>31</v>
      </c>
      <c r="J320" s="51">
        <v>15800000</v>
      </c>
      <c r="K320" s="47" t="str">
        <f>'[1]გეგმა 2024'!C12</f>
        <v>სხვადასხვა საკვები პროდუქტი</v>
      </c>
      <c r="L320" s="53" t="s">
        <v>166</v>
      </c>
      <c r="M320" s="53" t="s">
        <v>663</v>
      </c>
    </row>
    <row r="321" spans="1:13" ht="49.5" customHeight="1">
      <c r="A321" s="46">
        <v>322</v>
      </c>
      <c r="B321" s="47" t="s">
        <v>206</v>
      </c>
      <c r="C321" s="47" t="s">
        <v>207</v>
      </c>
      <c r="D321" s="48">
        <v>750</v>
      </c>
      <c r="E321" s="48">
        <f>750</f>
        <v>750</v>
      </c>
      <c r="F321" s="48">
        <f t="shared" si="5"/>
        <v>0</v>
      </c>
      <c r="G321" s="85" t="s">
        <v>661</v>
      </c>
      <c r="H321" s="48" t="s">
        <v>147</v>
      </c>
      <c r="I321" s="48" t="s">
        <v>31</v>
      </c>
      <c r="J321" s="51">
        <v>55100000</v>
      </c>
      <c r="K321" s="47" t="str">
        <f>'[1]გეგმა 2024'!C59</f>
        <v>სასტუმროს მომსახურება</v>
      </c>
      <c r="L321" s="53" t="s">
        <v>166</v>
      </c>
      <c r="M321" s="68" t="s">
        <v>664</v>
      </c>
    </row>
    <row r="322" spans="1:13" ht="75" customHeight="1">
      <c r="A322" s="46">
        <v>324</v>
      </c>
      <c r="B322" s="47" t="s">
        <v>667</v>
      </c>
      <c r="C322" s="47" t="s">
        <v>668</v>
      </c>
      <c r="D322" s="48">
        <v>18000</v>
      </c>
      <c r="E322" s="48">
        <f>18000</f>
        <v>18000</v>
      </c>
      <c r="F322" s="48">
        <f t="shared" si="5"/>
        <v>0</v>
      </c>
      <c r="G322" s="85" t="s">
        <v>666</v>
      </c>
      <c r="H322" s="48" t="s">
        <v>147</v>
      </c>
      <c r="I322" s="48" t="s">
        <v>31</v>
      </c>
      <c r="J322" s="89">
        <v>92100000</v>
      </c>
      <c r="K322" s="47" t="str">
        <f>'[1]გეგმა 2024'!C107</f>
        <v>კინო- და ვიდეომომსახურებები</v>
      </c>
      <c r="L322" s="47" t="s">
        <v>108</v>
      </c>
      <c r="M322" s="53" t="s">
        <v>669</v>
      </c>
    </row>
    <row r="323" spans="1:13" ht="51" customHeight="1">
      <c r="A323" s="46">
        <v>325</v>
      </c>
      <c r="B323" s="47" t="s">
        <v>505</v>
      </c>
      <c r="C323" s="47" t="s">
        <v>670</v>
      </c>
      <c r="D323" s="48">
        <v>195</v>
      </c>
      <c r="E323" s="48">
        <f>195</f>
        <v>195</v>
      </c>
      <c r="F323" s="48">
        <f t="shared" si="5"/>
        <v>0</v>
      </c>
      <c r="G323" s="85" t="s">
        <v>666</v>
      </c>
      <c r="H323" s="48" t="s">
        <v>147</v>
      </c>
      <c r="I323" s="48" t="s">
        <v>31</v>
      </c>
      <c r="J323" s="51">
        <v>15300000</v>
      </c>
      <c r="K323" s="47" t="str">
        <f>'[1]გეგმა 2024'!C10</f>
        <v>ხილი, ბოსტნეული და მონათესავე პროდუქტები</v>
      </c>
      <c r="L323" s="53" t="s">
        <v>78</v>
      </c>
      <c r="M323" s="53" t="s">
        <v>671</v>
      </c>
    </row>
    <row r="324" spans="1:13" ht="52.5" customHeight="1">
      <c r="A324" s="46">
        <v>326</v>
      </c>
      <c r="B324" s="47" t="s">
        <v>672</v>
      </c>
      <c r="C324" s="47" t="s">
        <v>673</v>
      </c>
      <c r="D324" s="48">
        <v>131</v>
      </c>
      <c r="E324" s="48">
        <f>131</f>
        <v>131</v>
      </c>
      <c r="F324" s="48">
        <f t="shared" si="5"/>
        <v>0</v>
      </c>
      <c r="G324" s="85" t="s">
        <v>666</v>
      </c>
      <c r="H324" s="48" t="s">
        <v>147</v>
      </c>
      <c r="I324" s="48" t="s">
        <v>31</v>
      </c>
      <c r="J324" s="51">
        <v>39800000</v>
      </c>
      <c r="K324" s="47" t="str">
        <f>'[1]გეგმა 2024'!C40</f>
        <v>საწმენდი და საპრიალებელი პროდუქცია</v>
      </c>
      <c r="L324" s="53" t="s">
        <v>78</v>
      </c>
      <c r="M324" s="53" t="s">
        <v>674</v>
      </c>
    </row>
    <row r="325" spans="1:13" ht="59.25" customHeight="1">
      <c r="A325" s="46">
        <v>327</v>
      </c>
      <c r="B325" s="47" t="s">
        <v>284</v>
      </c>
      <c r="C325" s="47" t="s">
        <v>188</v>
      </c>
      <c r="D325" s="48">
        <v>1390</v>
      </c>
      <c r="E325" s="48">
        <f>1390</f>
        <v>1390</v>
      </c>
      <c r="F325" s="48">
        <f t="shared" si="5"/>
        <v>0</v>
      </c>
      <c r="G325" s="85" t="s">
        <v>666</v>
      </c>
      <c r="H325" s="48" t="s">
        <v>147</v>
      </c>
      <c r="I325" s="48" t="s">
        <v>31</v>
      </c>
      <c r="J325" s="51">
        <v>60100000</v>
      </c>
      <c r="K325" s="47" t="str">
        <f>'[1]გეგმა 2024'!C64</f>
        <v xml:space="preserve"> საავტომობილო ტრანსპორტის მომსახურებები</v>
      </c>
      <c r="L325" s="53" t="s">
        <v>166</v>
      </c>
      <c r="M325" s="68" t="s">
        <v>675</v>
      </c>
    </row>
    <row r="326" spans="1:13" ht="157.5">
      <c r="A326" s="46">
        <v>328</v>
      </c>
      <c r="B326" s="47" t="s">
        <v>363</v>
      </c>
      <c r="C326" s="47" t="s">
        <v>209</v>
      </c>
      <c r="D326" s="48">
        <f>1209.5</f>
        <v>1209.5</v>
      </c>
      <c r="E326" s="48">
        <f>1209.5</f>
        <v>1209.5</v>
      </c>
      <c r="F326" s="48">
        <f t="shared" si="5"/>
        <v>0</v>
      </c>
      <c r="G326" s="85" t="s">
        <v>666</v>
      </c>
      <c r="H326" s="48" t="s">
        <v>147</v>
      </c>
      <c r="I326" s="48" t="s">
        <v>31</v>
      </c>
      <c r="J326" s="51">
        <v>55300000</v>
      </c>
      <c r="K326" s="47" t="str">
        <f>'[1]გეგმა 2024'!C62</f>
        <v xml:space="preserve">რესტორნებისა და კვების საწარმოების მომსახურეობები </v>
      </c>
      <c r="L326" s="53" t="s">
        <v>166</v>
      </c>
      <c r="M326" s="53" t="s">
        <v>676</v>
      </c>
    </row>
    <row r="327" spans="1:13" ht="157.5">
      <c r="A327" s="46">
        <v>329</v>
      </c>
      <c r="B327" s="47" t="s">
        <v>363</v>
      </c>
      <c r="C327" s="47" t="s">
        <v>209</v>
      </c>
      <c r="D327" s="48">
        <v>5252.3</v>
      </c>
      <c r="E327" s="48">
        <f>5252.3</f>
        <v>5252.3</v>
      </c>
      <c r="F327" s="48">
        <f t="shared" si="5"/>
        <v>0</v>
      </c>
      <c r="G327" s="85" t="s">
        <v>677</v>
      </c>
      <c r="H327" s="48" t="s">
        <v>147</v>
      </c>
      <c r="I327" s="48" t="s">
        <v>31</v>
      </c>
      <c r="J327" s="51">
        <v>55300000</v>
      </c>
      <c r="K327" s="47" t="str">
        <f>'[1]გეგმა 2024'!C62</f>
        <v xml:space="preserve">რესტორნებისა და კვების საწარმოების მომსახურეობები </v>
      </c>
      <c r="L327" s="53" t="s">
        <v>166</v>
      </c>
      <c r="M327" s="53" t="s">
        <v>678</v>
      </c>
    </row>
    <row r="328" spans="1:13" ht="157.5">
      <c r="A328" s="46">
        <v>330</v>
      </c>
      <c r="B328" s="47" t="s">
        <v>679</v>
      </c>
      <c r="C328" s="47" t="s">
        <v>209</v>
      </c>
      <c r="D328" s="48">
        <f>190</f>
        <v>190</v>
      </c>
      <c r="E328" s="48">
        <f>190</f>
        <v>190</v>
      </c>
      <c r="F328" s="48">
        <f t="shared" si="5"/>
        <v>0</v>
      </c>
      <c r="G328" s="85" t="s">
        <v>680</v>
      </c>
      <c r="H328" s="48" t="s">
        <v>147</v>
      </c>
      <c r="I328" s="48" t="s">
        <v>31</v>
      </c>
      <c r="J328" s="51">
        <v>55300000</v>
      </c>
      <c r="K328" s="47" t="str">
        <f>'[1]გეგმა 2024'!C64</f>
        <v xml:space="preserve"> საავტომობილო ტრანსპორტის მომსახურებები</v>
      </c>
      <c r="L328" s="53" t="s">
        <v>166</v>
      </c>
      <c r="M328" s="90" t="s">
        <v>681</v>
      </c>
    </row>
    <row r="329" spans="1:13" ht="157.5">
      <c r="A329" s="46">
        <v>331</v>
      </c>
      <c r="B329" s="47" t="s">
        <v>575</v>
      </c>
      <c r="C329" s="47" t="s">
        <v>209</v>
      </c>
      <c r="D329" s="48">
        <f>282.7</f>
        <v>282.7</v>
      </c>
      <c r="E329" s="48">
        <f>282.7</f>
        <v>282.7</v>
      </c>
      <c r="F329" s="48">
        <f t="shared" si="5"/>
        <v>0</v>
      </c>
      <c r="G329" s="85" t="s">
        <v>680</v>
      </c>
      <c r="H329" s="48" t="s">
        <v>147</v>
      </c>
      <c r="I329" s="48" t="s">
        <v>31</v>
      </c>
      <c r="J329" s="94">
        <v>55300000</v>
      </c>
      <c r="K329" s="47" t="str">
        <f>'[1]გეგმა 2024'!C62</f>
        <v xml:space="preserve">რესტორნებისა და კვების საწარმოების მომსახურეობები </v>
      </c>
      <c r="L329" s="47" t="s">
        <v>166</v>
      </c>
      <c r="M329" s="60" t="s">
        <v>682</v>
      </c>
    </row>
    <row r="330" spans="1:13" ht="157.5">
      <c r="A330" s="46">
        <v>332</v>
      </c>
      <c r="B330" s="47" t="s">
        <v>239</v>
      </c>
      <c r="C330" s="47" t="s">
        <v>188</v>
      </c>
      <c r="D330" s="48">
        <v>600</v>
      </c>
      <c r="E330" s="48">
        <f>600</f>
        <v>600</v>
      </c>
      <c r="F330" s="48">
        <f t="shared" si="5"/>
        <v>0</v>
      </c>
      <c r="G330" s="85" t="s">
        <v>680</v>
      </c>
      <c r="H330" s="48" t="s">
        <v>147</v>
      </c>
      <c r="I330" s="48" t="s">
        <v>31</v>
      </c>
      <c r="J330" s="51">
        <v>60100000</v>
      </c>
      <c r="K330" s="47" t="str">
        <f>'[1]გეგმა 2024'!C64</f>
        <v xml:space="preserve"> საავტომობილო ტრანსპორტის მომსახურებები</v>
      </c>
      <c r="L330" s="53" t="s">
        <v>166</v>
      </c>
      <c r="M330" s="60" t="s">
        <v>683</v>
      </c>
    </row>
    <row r="331" spans="1:13" ht="157.5">
      <c r="A331" s="46">
        <v>333</v>
      </c>
      <c r="B331" s="95" t="s">
        <v>684</v>
      </c>
      <c r="C331" s="47" t="s">
        <v>685</v>
      </c>
      <c r="D331" s="48">
        <v>3778.6</v>
      </c>
      <c r="E331" s="48">
        <f>3778.6</f>
        <v>3778.6</v>
      </c>
      <c r="F331" s="48">
        <f t="shared" si="5"/>
        <v>0</v>
      </c>
      <c r="G331" s="85" t="s">
        <v>680</v>
      </c>
      <c r="H331" s="48" t="s">
        <v>147</v>
      </c>
      <c r="I331" s="48" t="s">
        <v>31</v>
      </c>
      <c r="J331" s="51">
        <v>55300000</v>
      </c>
      <c r="K331" s="47" t="str">
        <f>'[1]გეგმა 2024'!C62</f>
        <v xml:space="preserve">რესტორნებისა და კვების საწარმოების მომსახურეობები </v>
      </c>
      <c r="L331" s="54" t="s">
        <v>166</v>
      </c>
      <c r="M331" s="57" t="s">
        <v>686</v>
      </c>
    </row>
    <row r="332" spans="1:13" ht="157.5">
      <c r="A332" s="46">
        <v>334</v>
      </c>
      <c r="B332" s="47" t="s">
        <v>434</v>
      </c>
      <c r="C332" s="47" t="s">
        <v>687</v>
      </c>
      <c r="D332" s="48">
        <v>95</v>
      </c>
      <c r="E332" s="48">
        <f>95</f>
        <v>95</v>
      </c>
      <c r="F332" s="48">
        <f t="shared" si="5"/>
        <v>0</v>
      </c>
      <c r="G332" s="85" t="s">
        <v>688</v>
      </c>
      <c r="H332" s="48" t="s">
        <v>147</v>
      </c>
      <c r="I332" s="48" t="s">
        <v>31</v>
      </c>
      <c r="J332" s="51">
        <v>39200000</v>
      </c>
      <c r="K332" s="47" t="str">
        <f>'[1]გეგმა 2024'!C37</f>
        <v>ჭიქები</v>
      </c>
      <c r="L332" s="54" t="s">
        <v>166</v>
      </c>
      <c r="M332" s="57" t="s">
        <v>689</v>
      </c>
    </row>
    <row r="333" spans="1:13" ht="157.5">
      <c r="A333" s="46">
        <v>335</v>
      </c>
      <c r="B333" s="47" t="s">
        <v>690</v>
      </c>
      <c r="C333" s="47" t="s">
        <v>691</v>
      </c>
      <c r="D333" s="48">
        <v>96</v>
      </c>
      <c r="E333" s="48">
        <f>96</f>
        <v>96</v>
      </c>
      <c r="F333" s="48">
        <f t="shared" si="5"/>
        <v>0</v>
      </c>
      <c r="G333" s="85" t="s">
        <v>688</v>
      </c>
      <c r="H333" s="48" t="s">
        <v>147</v>
      </c>
      <c r="I333" s="48" t="s">
        <v>31</v>
      </c>
      <c r="J333" s="51">
        <v>37300000</v>
      </c>
      <c r="K333" s="47" t="str">
        <f>'[1]გეგმა 2024'!C34</f>
        <v>მუსიკალური ინსტრუმენტები და ნაწილები</v>
      </c>
      <c r="L333" s="54" t="s">
        <v>166</v>
      </c>
      <c r="M333" s="90" t="s">
        <v>692</v>
      </c>
    </row>
    <row r="334" spans="1:13" ht="157.5">
      <c r="A334" s="46">
        <v>336</v>
      </c>
      <c r="B334" s="47" t="s">
        <v>586</v>
      </c>
      <c r="C334" s="47" t="s">
        <v>693</v>
      </c>
      <c r="D334" s="48">
        <v>390</v>
      </c>
      <c r="E334" s="48">
        <f>390</f>
        <v>390</v>
      </c>
      <c r="F334" s="48">
        <f t="shared" si="5"/>
        <v>0</v>
      </c>
      <c r="G334" s="85" t="s">
        <v>688</v>
      </c>
      <c r="H334" s="48" t="s">
        <v>147</v>
      </c>
      <c r="I334" s="48" t="s">
        <v>31</v>
      </c>
      <c r="J334" s="51">
        <v>18500000</v>
      </c>
      <c r="K334" s="47" t="str">
        <f>'[1]გეგმა 2024'!C16</f>
        <v>სამკაულები, საათები და მონათესავე ნივთები.</v>
      </c>
      <c r="L334" s="54" t="s">
        <v>166</v>
      </c>
      <c r="M334" s="60" t="s">
        <v>694</v>
      </c>
    </row>
    <row r="335" spans="1:13" ht="157.5">
      <c r="A335" s="46">
        <v>337</v>
      </c>
      <c r="B335" s="47" t="s">
        <v>695</v>
      </c>
      <c r="C335" s="47" t="s">
        <v>696</v>
      </c>
      <c r="D335" s="48">
        <v>110</v>
      </c>
      <c r="E335" s="48">
        <f>110</f>
        <v>110</v>
      </c>
      <c r="F335" s="48">
        <f t="shared" si="5"/>
        <v>0</v>
      </c>
      <c r="G335" s="85" t="s">
        <v>688</v>
      </c>
      <c r="H335" s="48" t="s">
        <v>147</v>
      </c>
      <c r="I335" s="48" t="s">
        <v>31</v>
      </c>
      <c r="J335" s="51">
        <v>18500000</v>
      </c>
      <c r="K335" s="47" t="str">
        <f>'[1]გეგმა 2024'!C16</f>
        <v>სამკაულები, საათები და მონათესავე ნივთები.</v>
      </c>
      <c r="L335" s="54" t="s">
        <v>166</v>
      </c>
      <c r="M335" s="60" t="s">
        <v>697</v>
      </c>
    </row>
    <row r="336" spans="1:13" ht="146.25">
      <c r="A336" s="46">
        <v>338</v>
      </c>
      <c r="B336" s="47" t="s">
        <v>505</v>
      </c>
      <c r="C336" s="47" t="s">
        <v>506</v>
      </c>
      <c r="D336" s="48">
        <v>195</v>
      </c>
      <c r="E336" s="48">
        <f>195</f>
        <v>195</v>
      </c>
      <c r="F336" s="48">
        <f t="shared" si="5"/>
        <v>0</v>
      </c>
      <c r="G336" s="85" t="s">
        <v>698</v>
      </c>
      <c r="H336" s="48" t="s">
        <v>147</v>
      </c>
      <c r="I336" s="48" t="s">
        <v>31</v>
      </c>
      <c r="J336" s="51">
        <v>15300000</v>
      </c>
      <c r="K336" s="47" t="str">
        <f>'[1]გეგმა 2024'!C10</f>
        <v>ხილი, ბოსტნეული და მონათესავე პროდუქტები</v>
      </c>
      <c r="L336" s="53" t="s">
        <v>78</v>
      </c>
      <c r="M336" s="60" t="s">
        <v>699</v>
      </c>
    </row>
    <row r="337" spans="1:13" ht="67.5" customHeight="1">
      <c r="A337" s="21">
        <v>339</v>
      </c>
      <c r="B337" s="2" t="s">
        <v>700</v>
      </c>
      <c r="C337" s="29" t="s">
        <v>665</v>
      </c>
      <c r="D337" s="22">
        <v>166200</v>
      </c>
      <c r="E337" s="22">
        <f>81530.62+69321.05</f>
        <v>150851.66999999998</v>
      </c>
      <c r="F337" s="22">
        <f t="shared" si="5"/>
        <v>15348.330000000016</v>
      </c>
      <c r="G337" s="92" t="s">
        <v>698</v>
      </c>
      <c r="H337" s="78" t="s">
        <v>147</v>
      </c>
      <c r="I337" s="78" t="s">
        <v>31</v>
      </c>
      <c r="J337" s="23">
        <v>39100000</v>
      </c>
      <c r="K337" s="2" t="str">
        <f>'[1]გეგმა 2024 (საკ. შ.)'!C7</f>
        <v>სტენდები (საკ.შ.)</v>
      </c>
      <c r="L337" s="2" t="s">
        <v>108</v>
      </c>
      <c r="M337" s="24" t="s">
        <v>701</v>
      </c>
    </row>
    <row r="338" spans="1:13" ht="55.5" customHeight="1">
      <c r="A338" s="46">
        <v>340</v>
      </c>
      <c r="B338" s="96" t="s">
        <v>702</v>
      </c>
      <c r="C338" s="69" t="s">
        <v>703</v>
      </c>
      <c r="D338" s="48">
        <f>61664.8</f>
        <v>61664.800000000003</v>
      </c>
      <c r="E338" s="48">
        <f>61664.8</f>
        <v>61664.800000000003</v>
      </c>
      <c r="F338" s="48">
        <f t="shared" si="5"/>
        <v>0</v>
      </c>
      <c r="G338" s="85" t="s">
        <v>704</v>
      </c>
      <c r="H338" s="48" t="s">
        <v>147</v>
      </c>
      <c r="I338" s="48" t="s">
        <v>31</v>
      </c>
      <c r="J338" s="51">
        <v>39100000</v>
      </c>
      <c r="K338" s="47" t="str">
        <f>'[1]გეგმა 2024'!C36</f>
        <v>ავეჯი (სტენდები)</v>
      </c>
      <c r="L338" s="47" t="s">
        <v>108</v>
      </c>
      <c r="M338" s="53" t="s">
        <v>705</v>
      </c>
    </row>
    <row r="339" spans="1:13" ht="42" customHeight="1">
      <c r="A339" s="46">
        <v>340</v>
      </c>
      <c r="B339" s="96" t="s">
        <v>702</v>
      </c>
      <c r="C339" s="69" t="s">
        <v>703</v>
      </c>
      <c r="D339" s="48">
        <f>61048.29</f>
        <v>61048.29</v>
      </c>
      <c r="E339" s="48">
        <f>61048.29</f>
        <v>61048.29</v>
      </c>
      <c r="F339" s="48">
        <f t="shared" si="5"/>
        <v>0</v>
      </c>
      <c r="G339" s="85" t="s">
        <v>704</v>
      </c>
      <c r="H339" s="48" t="s">
        <v>147</v>
      </c>
      <c r="I339" s="48" t="s">
        <v>31</v>
      </c>
      <c r="J339" s="51">
        <v>39100000</v>
      </c>
      <c r="K339" s="47" t="str">
        <f>'[1]გეგმა 2024 (საკ. შ.)'!C7</f>
        <v>სტენდები (საკ.შ.)</v>
      </c>
      <c r="L339" s="47" t="s">
        <v>108</v>
      </c>
      <c r="M339" s="53" t="s">
        <v>705</v>
      </c>
    </row>
    <row r="340" spans="1:13" ht="58.5" customHeight="1">
      <c r="A340" s="21">
        <v>341</v>
      </c>
      <c r="B340" s="2" t="s">
        <v>363</v>
      </c>
      <c r="C340" s="2" t="s">
        <v>207</v>
      </c>
      <c r="D340" s="22">
        <v>100000</v>
      </c>
      <c r="E340" s="22">
        <f>11726+858+572+2860+1430+999</f>
        <v>18445</v>
      </c>
      <c r="F340" s="22">
        <f t="shared" si="5"/>
        <v>81555</v>
      </c>
      <c r="G340" s="92" t="s">
        <v>706</v>
      </c>
      <c r="H340" s="78" t="s">
        <v>147</v>
      </c>
      <c r="I340" s="78" t="s">
        <v>31</v>
      </c>
      <c r="J340" s="23">
        <v>55100000</v>
      </c>
      <c r="K340" s="2" t="str">
        <f>'[1]გეგმა 2024'!C59</f>
        <v>სასტუმროს მომსახურება</v>
      </c>
      <c r="L340" s="26" t="s">
        <v>166</v>
      </c>
      <c r="M340" s="34" t="s">
        <v>707</v>
      </c>
    </row>
    <row r="341" spans="1:13" ht="47.25" customHeight="1">
      <c r="A341" s="21">
        <v>342</v>
      </c>
      <c r="B341" s="2" t="s">
        <v>708</v>
      </c>
      <c r="C341" s="2" t="s">
        <v>207</v>
      </c>
      <c r="D341" s="22">
        <v>20000</v>
      </c>
      <c r="E341" s="22"/>
      <c r="F341" s="22">
        <f t="shared" si="5"/>
        <v>20000</v>
      </c>
      <c r="G341" s="92" t="s">
        <v>706</v>
      </c>
      <c r="H341" s="78" t="s">
        <v>147</v>
      </c>
      <c r="I341" s="78" t="s">
        <v>31</v>
      </c>
      <c r="J341" s="23">
        <v>55100000</v>
      </c>
      <c r="K341" s="2" t="str">
        <f>'[1]გეგმა 2024'!C59</f>
        <v>სასტუმროს მომსახურება</v>
      </c>
      <c r="L341" s="26" t="s">
        <v>166</v>
      </c>
      <c r="M341" s="24" t="s">
        <v>709</v>
      </c>
    </row>
    <row r="342" spans="1:13" ht="62.25" customHeight="1">
      <c r="A342" s="46" t="s">
        <v>710</v>
      </c>
      <c r="B342" s="47" t="s">
        <v>363</v>
      </c>
      <c r="C342" s="47" t="s">
        <v>207</v>
      </c>
      <c r="D342" s="48">
        <v>4114.08</v>
      </c>
      <c r="E342" s="48">
        <f>4114.08</f>
        <v>4114.08</v>
      </c>
      <c r="F342" s="48">
        <f t="shared" si="5"/>
        <v>0</v>
      </c>
      <c r="G342" s="85" t="s">
        <v>706</v>
      </c>
      <c r="H342" s="48" t="s">
        <v>147</v>
      </c>
      <c r="I342" s="48" t="s">
        <v>31</v>
      </c>
      <c r="J342" s="51">
        <v>55100000</v>
      </c>
      <c r="K342" s="47" t="str">
        <f>'[1]გეგმა 2024'!C59</f>
        <v>სასტუმროს მომსახურება</v>
      </c>
      <c r="L342" s="54" t="s">
        <v>166</v>
      </c>
      <c r="M342" s="53" t="s">
        <v>711</v>
      </c>
    </row>
    <row r="343" spans="1:13" ht="48" customHeight="1">
      <c r="A343" s="46">
        <v>343</v>
      </c>
      <c r="B343" s="47" t="s">
        <v>712</v>
      </c>
      <c r="C343" s="47" t="s">
        <v>713</v>
      </c>
      <c r="D343" s="48">
        <v>419</v>
      </c>
      <c r="E343" s="48">
        <f>419</f>
        <v>419</v>
      </c>
      <c r="F343" s="48">
        <f t="shared" si="5"/>
        <v>0</v>
      </c>
      <c r="G343" s="85" t="s">
        <v>714</v>
      </c>
      <c r="H343" s="50" t="s">
        <v>147</v>
      </c>
      <c r="I343" s="47" t="s">
        <v>31</v>
      </c>
      <c r="J343" s="89">
        <v>30200000</v>
      </c>
      <c r="K343" s="47" t="str">
        <f>'[1]გეგმა 2024'!C28</f>
        <v>კომპიუტერული მოწყობილობები ..</v>
      </c>
      <c r="L343" s="47" t="s">
        <v>78</v>
      </c>
      <c r="M343" s="74" t="s">
        <v>715</v>
      </c>
    </row>
    <row r="344" spans="1:13" ht="54" customHeight="1">
      <c r="A344" s="21">
        <v>344</v>
      </c>
      <c r="B344" s="2" t="s">
        <v>716</v>
      </c>
      <c r="C344" s="2" t="s">
        <v>717</v>
      </c>
      <c r="D344" s="22">
        <v>150841.42000000001</v>
      </c>
      <c r="E344" s="22">
        <f>22472.88</f>
        <v>22472.880000000001</v>
      </c>
      <c r="F344" s="22">
        <f t="shared" si="5"/>
        <v>128368.54000000001</v>
      </c>
      <c r="G344" s="92" t="s">
        <v>718</v>
      </c>
      <c r="H344" s="45" t="s">
        <v>147</v>
      </c>
      <c r="I344" s="2" t="s">
        <v>31</v>
      </c>
      <c r="J344" s="23">
        <v>45200000</v>
      </c>
      <c r="K344" s="2" t="str">
        <f>'[1]გეგმა 2024'!C46</f>
        <v>მთლიანი ან ნაწილობრივი სამშენებლო სამუშაოები და სამოქალაქო მშენებლობის სამუშაოები</v>
      </c>
      <c r="L344" s="2" t="s">
        <v>719</v>
      </c>
      <c r="M344" s="2"/>
    </row>
    <row r="345" spans="1:13" ht="77.25" customHeight="1">
      <c r="A345" s="21">
        <v>345</v>
      </c>
      <c r="B345" s="2" t="s">
        <v>716</v>
      </c>
      <c r="C345" s="2" t="s">
        <v>720</v>
      </c>
      <c r="D345" s="22">
        <v>94278.6</v>
      </c>
      <c r="E345" s="22">
        <f>44987.86</f>
        <v>44987.86</v>
      </c>
      <c r="F345" s="22">
        <f t="shared" si="5"/>
        <v>49290.740000000005</v>
      </c>
      <c r="G345" s="92" t="s">
        <v>718</v>
      </c>
      <c r="H345" s="45" t="s">
        <v>147</v>
      </c>
      <c r="I345" s="2" t="s">
        <v>31</v>
      </c>
      <c r="J345" s="23">
        <v>45200000</v>
      </c>
      <c r="K345" s="2" t="str">
        <f>'[1]გეგმა 2024'!C46</f>
        <v>მთლიანი ან ნაწილობრივი სამშენებლო სამუშაოები და სამოქალაქო მშენებლობის სამუშაოები</v>
      </c>
      <c r="L345" s="2" t="s">
        <v>721</v>
      </c>
      <c r="M345" s="97"/>
    </row>
    <row r="346" spans="1:13" ht="48.75" customHeight="1">
      <c r="A346" s="21">
        <v>346</v>
      </c>
      <c r="B346" s="2" t="s">
        <v>722</v>
      </c>
      <c r="C346" s="2" t="s">
        <v>723</v>
      </c>
      <c r="D346" s="22">
        <v>14331.69</v>
      </c>
      <c r="E346" s="22">
        <f>1592.41+1592.41</f>
        <v>3184.82</v>
      </c>
      <c r="F346" s="22">
        <f t="shared" si="5"/>
        <v>11146.87</v>
      </c>
      <c r="G346" s="92" t="s">
        <v>718</v>
      </c>
      <c r="H346" s="45" t="s">
        <v>147</v>
      </c>
      <c r="I346" s="2" t="s">
        <v>31</v>
      </c>
      <c r="J346" s="27">
        <v>79300000</v>
      </c>
      <c r="K346" s="2" t="str">
        <f>'[1]გეგმა 2024'!C88</f>
        <v>გამოკითხვებთან დაკავშირებული მომსახურებები</v>
      </c>
      <c r="L346" s="37" t="s">
        <v>724</v>
      </c>
      <c r="M346" s="98" t="s">
        <v>725</v>
      </c>
    </row>
    <row r="347" spans="1:13" ht="45" customHeight="1">
      <c r="A347" s="46">
        <v>347</v>
      </c>
      <c r="B347" s="47" t="s">
        <v>164</v>
      </c>
      <c r="C347" s="47" t="s">
        <v>165</v>
      </c>
      <c r="D347" s="48">
        <v>1893</v>
      </c>
      <c r="E347" s="48">
        <f>1893</f>
        <v>1893</v>
      </c>
      <c r="F347" s="48">
        <f t="shared" si="5"/>
        <v>0</v>
      </c>
      <c r="G347" s="85" t="s">
        <v>718</v>
      </c>
      <c r="H347" s="50" t="s">
        <v>147</v>
      </c>
      <c r="I347" s="47" t="s">
        <v>31</v>
      </c>
      <c r="J347" s="51">
        <v>60400000</v>
      </c>
      <c r="K347" s="47" t="str">
        <f>'[1]გეგმა 2024'!C65</f>
        <v>საჰაერო ტრანსპორტის მომსახურებები</v>
      </c>
      <c r="L347" s="54" t="s">
        <v>166</v>
      </c>
      <c r="M347" s="60" t="s">
        <v>726</v>
      </c>
    </row>
    <row r="348" spans="1:13" ht="62.25" customHeight="1">
      <c r="A348" s="21">
        <v>348</v>
      </c>
      <c r="B348" s="2" t="s">
        <v>520</v>
      </c>
      <c r="C348" s="2" t="s">
        <v>727</v>
      </c>
      <c r="D348" s="22">
        <v>29000</v>
      </c>
      <c r="E348" s="22">
        <f>23250.15+4185.03</f>
        <v>27435.18</v>
      </c>
      <c r="F348" s="22">
        <f t="shared" si="5"/>
        <v>1564.8199999999997</v>
      </c>
      <c r="G348" s="92" t="s">
        <v>718</v>
      </c>
      <c r="H348" s="45" t="s">
        <v>147</v>
      </c>
      <c r="I348" s="2" t="s">
        <v>31</v>
      </c>
      <c r="J348" s="23">
        <v>7240000</v>
      </c>
      <c r="K348" s="2" t="str">
        <f>'[1]გეგმა 2024'!C81</f>
        <v>ინტერნეტ მომსახურებები.</v>
      </c>
      <c r="L348" s="2" t="s">
        <v>108</v>
      </c>
      <c r="M348" s="34" t="s">
        <v>728</v>
      </c>
    </row>
    <row r="349" spans="1:13" ht="51.75" customHeight="1">
      <c r="A349" s="46">
        <v>349</v>
      </c>
      <c r="B349" s="47" t="s">
        <v>200</v>
      </c>
      <c r="C349" s="47" t="s">
        <v>165</v>
      </c>
      <c r="D349" s="48">
        <v>11038</v>
      </c>
      <c r="E349" s="48">
        <f>11038</f>
        <v>11038</v>
      </c>
      <c r="F349" s="48">
        <f t="shared" si="5"/>
        <v>0</v>
      </c>
      <c r="G349" s="85" t="s">
        <v>729</v>
      </c>
      <c r="H349" s="50" t="s">
        <v>147</v>
      </c>
      <c r="I349" s="47" t="s">
        <v>31</v>
      </c>
      <c r="J349" s="51">
        <v>60400000</v>
      </c>
      <c r="K349" s="47" t="str">
        <f>'[1]გეგმა 2024'!C65</f>
        <v>საჰაერო ტრანსპორტის მომსახურებები</v>
      </c>
      <c r="L349" s="54" t="s">
        <v>166</v>
      </c>
      <c r="M349" s="53" t="s">
        <v>730</v>
      </c>
    </row>
    <row r="350" spans="1:13" ht="48" customHeight="1">
      <c r="A350" s="46">
        <v>350</v>
      </c>
      <c r="B350" s="47" t="s">
        <v>187</v>
      </c>
      <c r="C350" s="47" t="s">
        <v>240</v>
      </c>
      <c r="D350" s="48">
        <v>2500</v>
      </c>
      <c r="E350" s="48">
        <f>2500</f>
        <v>2500</v>
      </c>
      <c r="F350" s="48">
        <f t="shared" si="5"/>
        <v>0</v>
      </c>
      <c r="G350" s="85" t="s">
        <v>729</v>
      </c>
      <c r="H350" s="50" t="s">
        <v>147</v>
      </c>
      <c r="I350" s="47" t="s">
        <v>31</v>
      </c>
      <c r="J350" s="51">
        <v>63500000</v>
      </c>
      <c r="K350" s="47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350" s="54" t="s">
        <v>166</v>
      </c>
      <c r="M350" s="90" t="s">
        <v>731</v>
      </c>
    </row>
    <row r="351" spans="1:13" ht="42" customHeight="1">
      <c r="A351" s="46">
        <v>351</v>
      </c>
      <c r="B351" s="47" t="s">
        <v>187</v>
      </c>
      <c r="C351" s="47" t="s">
        <v>188</v>
      </c>
      <c r="D351" s="48">
        <v>5100</v>
      </c>
      <c r="E351" s="48">
        <f>5100</f>
        <v>5100</v>
      </c>
      <c r="F351" s="48">
        <f t="shared" si="5"/>
        <v>0</v>
      </c>
      <c r="G351" s="85" t="s">
        <v>729</v>
      </c>
      <c r="H351" s="50" t="s">
        <v>147</v>
      </c>
      <c r="I351" s="47" t="s">
        <v>31</v>
      </c>
      <c r="J351" s="51">
        <v>60100000</v>
      </c>
      <c r="K351" s="47" t="str">
        <f>'[1]გეგმა 2024'!C64</f>
        <v xml:space="preserve"> საავტომობილო ტრანსპორტის მომსახურებები</v>
      </c>
      <c r="L351" s="54" t="s">
        <v>166</v>
      </c>
      <c r="M351" s="90" t="s">
        <v>732</v>
      </c>
    </row>
    <row r="352" spans="1:13" ht="146.25">
      <c r="A352" s="46">
        <v>352</v>
      </c>
      <c r="B352" s="47" t="s">
        <v>127</v>
      </c>
      <c r="C352" s="47" t="s">
        <v>733</v>
      </c>
      <c r="D352" s="48">
        <v>156</v>
      </c>
      <c r="E352" s="48">
        <f>156</f>
        <v>156</v>
      </c>
      <c r="F352" s="48">
        <f t="shared" si="5"/>
        <v>0</v>
      </c>
      <c r="G352" s="85" t="s">
        <v>729</v>
      </c>
      <c r="H352" s="50" t="s">
        <v>147</v>
      </c>
      <c r="I352" s="47" t="s">
        <v>31</v>
      </c>
      <c r="J352" s="51">
        <v>33700000</v>
      </c>
      <c r="K352" s="47" t="str">
        <f>'[1]გეგმა 2024'!C31</f>
        <v>პირადი ჰიგიენის საშუალებები</v>
      </c>
      <c r="L352" s="53" t="s">
        <v>78</v>
      </c>
      <c r="M352" s="90" t="s">
        <v>734</v>
      </c>
    </row>
    <row r="353" spans="1:13" ht="146.25">
      <c r="A353" s="46">
        <v>352</v>
      </c>
      <c r="B353" s="47" t="s">
        <v>127</v>
      </c>
      <c r="C353" s="47" t="s">
        <v>735</v>
      </c>
      <c r="D353" s="48">
        <v>298.5</v>
      </c>
      <c r="E353" s="48">
        <f>298.5</f>
        <v>298.5</v>
      </c>
      <c r="F353" s="48">
        <f t="shared" si="5"/>
        <v>0</v>
      </c>
      <c r="G353" s="85" t="s">
        <v>729</v>
      </c>
      <c r="H353" s="50" t="s">
        <v>147</v>
      </c>
      <c r="I353" s="47" t="s">
        <v>31</v>
      </c>
      <c r="J353" s="51">
        <v>39500000</v>
      </c>
      <c r="K353" s="47" t="str">
        <f>'[1]გეგმა 2024'!C38</f>
        <v>ქსოვილის ნივთები</v>
      </c>
      <c r="L353" s="53" t="s">
        <v>78</v>
      </c>
      <c r="M353" s="90" t="s">
        <v>734</v>
      </c>
    </row>
    <row r="354" spans="1:13" ht="146.25">
      <c r="A354" s="46">
        <v>352</v>
      </c>
      <c r="B354" s="47" t="s">
        <v>127</v>
      </c>
      <c r="C354" s="47" t="s">
        <v>736</v>
      </c>
      <c r="D354" s="48">
        <v>244</v>
      </c>
      <c r="E354" s="48">
        <f>244</f>
        <v>244</v>
      </c>
      <c r="F354" s="48">
        <f t="shared" si="5"/>
        <v>0</v>
      </c>
      <c r="G354" s="85" t="s">
        <v>729</v>
      </c>
      <c r="H354" s="50" t="s">
        <v>147</v>
      </c>
      <c r="I354" s="47" t="s">
        <v>31</v>
      </c>
      <c r="J354" s="51">
        <v>19600000</v>
      </c>
      <c r="K354" s="47" t="str">
        <f>'[1]გეგმა 2024'!C19</f>
        <v>ტყავის, ტექსტილის, რეზინისა და პლასტმასის ნარჩენი</v>
      </c>
      <c r="L354" s="53" t="s">
        <v>78</v>
      </c>
      <c r="M354" s="90" t="s">
        <v>734</v>
      </c>
    </row>
    <row r="355" spans="1:13" ht="146.25">
      <c r="A355" s="46">
        <v>352</v>
      </c>
      <c r="B355" s="47" t="s">
        <v>127</v>
      </c>
      <c r="C355" s="47" t="s">
        <v>737</v>
      </c>
      <c r="D355" s="48">
        <v>248</v>
      </c>
      <c r="E355" s="48">
        <f>248</f>
        <v>248</v>
      </c>
      <c r="F355" s="48">
        <f t="shared" si="5"/>
        <v>0</v>
      </c>
      <c r="G355" s="85" t="s">
        <v>729</v>
      </c>
      <c r="H355" s="50" t="s">
        <v>147</v>
      </c>
      <c r="I355" s="47" t="s">
        <v>31</v>
      </c>
      <c r="J355" s="51">
        <v>39700000</v>
      </c>
      <c r="K355" s="47" t="str">
        <f>'[1]გეგმა 2024'!C39</f>
        <v>საოჯახო ტექნიკა</v>
      </c>
      <c r="L355" s="53" t="s">
        <v>78</v>
      </c>
      <c r="M355" s="90" t="s">
        <v>734</v>
      </c>
    </row>
    <row r="356" spans="1:13" ht="146.25">
      <c r="A356" s="46">
        <v>352</v>
      </c>
      <c r="B356" s="47" t="s">
        <v>127</v>
      </c>
      <c r="C356" s="47" t="s">
        <v>738</v>
      </c>
      <c r="D356" s="48">
        <v>415.5</v>
      </c>
      <c r="E356" s="48">
        <f>415.5</f>
        <v>415.5</v>
      </c>
      <c r="F356" s="48">
        <f t="shared" si="5"/>
        <v>0</v>
      </c>
      <c r="G356" s="85" t="s">
        <v>729</v>
      </c>
      <c r="H356" s="50" t="s">
        <v>147</v>
      </c>
      <c r="I356" s="47" t="s">
        <v>31</v>
      </c>
      <c r="J356" s="51">
        <v>39800000</v>
      </c>
      <c r="K356" s="47" t="str">
        <f>'[1]გეგმა 2024'!C40</f>
        <v>საწმენდი და საპრიალებელი პროდუქცია</v>
      </c>
      <c r="L356" s="53" t="s">
        <v>78</v>
      </c>
      <c r="M356" s="90" t="s">
        <v>734</v>
      </c>
    </row>
    <row r="357" spans="1:13" ht="157.5">
      <c r="A357" s="46">
        <v>353</v>
      </c>
      <c r="B357" s="47" t="s">
        <v>198</v>
      </c>
      <c r="C357" s="47" t="s">
        <v>165</v>
      </c>
      <c r="D357" s="48">
        <v>13274.7</v>
      </c>
      <c r="E357" s="48">
        <f>13274.7</f>
        <v>13274.7</v>
      </c>
      <c r="F357" s="48">
        <f t="shared" si="5"/>
        <v>0</v>
      </c>
      <c r="G357" s="85" t="s">
        <v>729</v>
      </c>
      <c r="H357" s="50" t="s">
        <v>147</v>
      </c>
      <c r="I357" s="47" t="s">
        <v>31</v>
      </c>
      <c r="J357" s="51">
        <v>60400000</v>
      </c>
      <c r="K357" s="47" t="str">
        <f>'[1]გეგმა 2024'!C65</f>
        <v>საჰაერო ტრანსპორტის მომსახურებები</v>
      </c>
      <c r="L357" s="54" t="s">
        <v>166</v>
      </c>
      <c r="M357" s="90" t="s">
        <v>739</v>
      </c>
    </row>
    <row r="358" spans="1:13" ht="157.5">
      <c r="A358" s="46">
        <v>354</v>
      </c>
      <c r="B358" s="47" t="s">
        <v>164</v>
      </c>
      <c r="C358" s="47" t="s">
        <v>165</v>
      </c>
      <c r="D358" s="48">
        <v>5438</v>
      </c>
      <c r="E358" s="48">
        <f>5438</f>
        <v>5438</v>
      </c>
      <c r="F358" s="48">
        <f t="shared" si="5"/>
        <v>0</v>
      </c>
      <c r="G358" s="85" t="s">
        <v>729</v>
      </c>
      <c r="H358" s="50" t="s">
        <v>147</v>
      </c>
      <c r="I358" s="47" t="s">
        <v>31</v>
      </c>
      <c r="J358" s="51">
        <v>60400000</v>
      </c>
      <c r="K358" s="47" t="str">
        <f>'[1]გეგმა 2024'!C65</f>
        <v>საჰაერო ტრანსპორტის მომსახურებები</v>
      </c>
      <c r="L358" s="54" t="s">
        <v>166</v>
      </c>
      <c r="M358" s="60" t="s">
        <v>740</v>
      </c>
    </row>
    <row r="359" spans="1:13" ht="123.75">
      <c r="A359" s="46">
        <v>355</v>
      </c>
      <c r="B359" s="47" t="s">
        <v>87</v>
      </c>
      <c r="C359" s="47" t="s">
        <v>741</v>
      </c>
      <c r="D359" s="48">
        <v>2772</v>
      </c>
      <c r="E359" s="48">
        <f>2772</f>
        <v>2772</v>
      </c>
      <c r="F359" s="48">
        <f t="shared" si="5"/>
        <v>0</v>
      </c>
      <c r="G359" s="85" t="s">
        <v>729</v>
      </c>
      <c r="H359" s="50" t="s">
        <v>147</v>
      </c>
      <c r="I359" s="47" t="s">
        <v>17</v>
      </c>
      <c r="J359" s="51">
        <v>34300000</v>
      </c>
      <c r="K359" s="47" t="str">
        <f>'[1]გეგმა 2024'!C33</f>
        <v>ნაწილები და აქსესუარები სატრანსპორტო საშუალებებისა და მათი ძრავებისათვის</v>
      </c>
      <c r="L359" s="53" t="s">
        <v>742</v>
      </c>
      <c r="M359" s="53" t="s">
        <v>743</v>
      </c>
    </row>
    <row r="360" spans="1:13" ht="157.5">
      <c r="A360" s="46">
        <v>356</v>
      </c>
      <c r="B360" s="47" t="s">
        <v>391</v>
      </c>
      <c r="C360" s="47" t="s">
        <v>209</v>
      </c>
      <c r="D360" s="48">
        <f>201.66</f>
        <v>201.66</v>
      </c>
      <c r="E360" s="48">
        <f>201.66</f>
        <v>201.66</v>
      </c>
      <c r="F360" s="48">
        <f t="shared" si="5"/>
        <v>0</v>
      </c>
      <c r="G360" s="85" t="s">
        <v>744</v>
      </c>
      <c r="H360" s="50" t="s">
        <v>147</v>
      </c>
      <c r="I360" s="47" t="s">
        <v>31</v>
      </c>
      <c r="J360" s="51">
        <v>55300000</v>
      </c>
      <c r="K360" s="47" t="str">
        <f>'[1]გეგმა 2024'!C62</f>
        <v xml:space="preserve">რესტორნებისა და კვების საწარმოების მომსახურეობები </v>
      </c>
      <c r="L360" s="54" t="s">
        <v>166</v>
      </c>
      <c r="M360" s="90" t="s">
        <v>745</v>
      </c>
    </row>
    <row r="361" spans="1:13" ht="157.5">
      <c r="A361" s="21">
        <v>357</v>
      </c>
      <c r="B361" s="2" t="s">
        <v>746</v>
      </c>
      <c r="C361" s="2" t="s">
        <v>209</v>
      </c>
      <c r="D361" s="22">
        <v>300</v>
      </c>
      <c r="E361" s="22">
        <f>120</f>
        <v>120</v>
      </c>
      <c r="F361" s="22">
        <f t="shared" si="5"/>
        <v>180</v>
      </c>
      <c r="G361" s="92" t="s">
        <v>744</v>
      </c>
      <c r="H361" s="45" t="s">
        <v>147</v>
      </c>
      <c r="I361" s="2" t="s">
        <v>31</v>
      </c>
      <c r="J361" s="23">
        <v>55300000</v>
      </c>
      <c r="K361" s="2" t="str">
        <f>'[1]გეგმა 2024'!C62</f>
        <v xml:space="preserve">რესტორნებისა და კვების საწარმოების მომსახურეობები </v>
      </c>
      <c r="L361" s="26" t="s">
        <v>166</v>
      </c>
      <c r="M361" s="99" t="s">
        <v>747</v>
      </c>
    </row>
    <row r="362" spans="1:13" ht="146.25">
      <c r="A362" s="46">
        <v>358</v>
      </c>
      <c r="B362" s="47" t="s">
        <v>505</v>
      </c>
      <c r="C362" s="47" t="s">
        <v>506</v>
      </c>
      <c r="D362" s="48">
        <v>390</v>
      </c>
      <c r="E362" s="48">
        <f>390</f>
        <v>390</v>
      </c>
      <c r="F362" s="48">
        <f t="shared" si="5"/>
        <v>0</v>
      </c>
      <c r="G362" s="85" t="s">
        <v>744</v>
      </c>
      <c r="H362" s="50" t="s">
        <v>147</v>
      </c>
      <c r="I362" s="47" t="s">
        <v>31</v>
      </c>
      <c r="J362" s="51">
        <v>15300000</v>
      </c>
      <c r="K362" s="47" t="str">
        <f>'[1]გეგმა 2024'!C10</f>
        <v>ხილი, ბოსტნეული და მონათესავე პროდუქტები</v>
      </c>
      <c r="L362" s="53" t="s">
        <v>78</v>
      </c>
      <c r="M362" s="90" t="s">
        <v>748</v>
      </c>
    </row>
    <row r="363" spans="1:13" ht="157.5">
      <c r="A363" s="21">
        <v>359</v>
      </c>
      <c r="B363" s="2" t="s">
        <v>746</v>
      </c>
      <c r="C363" s="2" t="s">
        <v>207</v>
      </c>
      <c r="D363" s="22">
        <v>15000</v>
      </c>
      <c r="E363" s="22">
        <f>420</f>
        <v>420</v>
      </c>
      <c r="F363" s="22">
        <f t="shared" si="5"/>
        <v>14580</v>
      </c>
      <c r="G363" s="92" t="s">
        <v>744</v>
      </c>
      <c r="H363" s="45" t="s">
        <v>147</v>
      </c>
      <c r="I363" s="2" t="s">
        <v>31</v>
      </c>
      <c r="J363" s="23">
        <v>55100000</v>
      </c>
      <c r="K363" s="2" t="str">
        <f>'[1]გეგმა 2024'!C59</f>
        <v>სასტუმროს მომსახურება</v>
      </c>
      <c r="L363" s="26" t="s">
        <v>166</v>
      </c>
      <c r="M363" s="24" t="s">
        <v>749</v>
      </c>
    </row>
    <row r="364" spans="1:13" ht="157.5">
      <c r="A364" s="21">
        <v>360</v>
      </c>
      <c r="B364" s="2" t="s">
        <v>750</v>
      </c>
      <c r="C364" s="2" t="s">
        <v>207</v>
      </c>
      <c r="D364" s="22">
        <v>20000</v>
      </c>
      <c r="E364" s="22"/>
      <c r="F364" s="22">
        <f t="shared" si="5"/>
        <v>20000</v>
      </c>
      <c r="G364" s="92" t="s">
        <v>744</v>
      </c>
      <c r="H364" s="45" t="s">
        <v>147</v>
      </c>
      <c r="I364" s="2" t="s">
        <v>31</v>
      </c>
      <c r="J364" s="23">
        <v>55100000</v>
      </c>
      <c r="K364" s="2" t="str">
        <f>'[1]გეგმა 2024'!C59</f>
        <v>სასტუმროს მომსახურება</v>
      </c>
      <c r="L364" s="26" t="s">
        <v>166</v>
      </c>
      <c r="M364" s="24" t="s">
        <v>751</v>
      </c>
    </row>
    <row r="365" spans="1:13" ht="303.75">
      <c r="A365" s="21">
        <v>361</v>
      </c>
      <c r="B365" s="2" t="s">
        <v>752</v>
      </c>
      <c r="C365" s="2" t="s">
        <v>753</v>
      </c>
      <c r="D365" s="22">
        <v>296446.15999999997</v>
      </c>
      <c r="E365" s="22">
        <f>62468.18+109041.63</f>
        <v>171509.81</v>
      </c>
      <c r="F365" s="22">
        <f t="shared" si="5"/>
        <v>124936.34999999998</v>
      </c>
      <c r="G365" s="92" t="s">
        <v>754</v>
      </c>
      <c r="H365" s="45" t="s">
        <v>147</v>
      </c>
      <c r="I365" s="2" t="s">
        <v>31</v>
      </c>
      <c r="J365" s="23">
        <v>79300000</v>
      </c>
      <c r="K365" s="2" t="str">
        <f>'[1]გეგმა 2024'!C87</f>
        <v>ბაზრის კვლევა და ეკონომიკური კვლევა გამოკითხვები და სტატისტიკა.</v>
      </c>
      <c r="L365" s="26" t="s">
        <v>108</v>
      </c>
      <c r="M365" s="98" t="s">
        <v>755</v>
      </c>
    </row>
    <row r="366" spans="1:13" ht="157.5">
      <c r="A366" s="46">
        <v>362</v>
      </c>
      <c r="B366" s="47" t="s">
        <v>599</v>
      </c>
      <c r="C366" s="47" t="s">
        <v>209</v>
      </c>
      <c r="D366" s="48">
        <f>200</f>
        <v>200</v>
      </c>
      <c r="E366" s="48">
        <f>200</f>
        <v>200</v>
      </c>
      <c r="F366" s="48">
        <f t="shared" si="5"/>
        <v>0</v>
      </c>
      <c r="G366" s="85" t="s">
        <v>754</v>
      </c>
      <c r="H366" s="50" t="s">
        <v>147</v>
      </c>
      <c r="I366" s="47" t="s">
        <v>31</v>
      </c>
      <c r="J366" s="51">
        <v>55300000</v>
      </c>
      <c r="K366" s="47" t="str">
        <f>'[1]გეგმა 2024'!C62</f>
        <v xml:space="preserve">რესტორნებისა და კვების საწარმოების მომსახურეობები </v>
      </c>
      <c r="L366" s="54" t="s">
        <v>166</v>
      </c>
      <c r="M366" s="90" t="s">
        <v>756</v>
      </c>
    </row>
    <row r="367" spans="1:13" ht="157.5">
      <c r="A367" s="46">
        <v>363</v>
      </c>
      <c r="B367" s="47" t="s">
        <v>530</v>
      </c>
      <c r="C367" s="47" t="s">
        <v>209</v>
      </c>
      <c r="D367" s="48">
        <f>180.4</f>
        <v>180.4</v>
      </c>
      <c r="E367" s="48">
        <f>180.4</f>
        <v>180.4</v>
      </c>
      <c r="F367" s="48">
        <f t="shared" si="5"/>
        <v>0</v>
      </c>
      <c r="G367" s="85" t="s">
        <v>754</v>
      </c>
      <c r="H367" s="50" t="s">
        <v>147</v>
      </c>
      <c r="I367" s="47" t="s">
        <v>31</v>
      </c>
      <c r="J367" s="51">
        <v>55300000</v>
      </c>
      <c r="K367" s="47" t="str">
        <f>'[1]გეგმა 2024'!C62</f>
        <v xml:space="preserve">რესტორნებისა და კვების საწარმოების მომსახურეობები </v>
      </c>
      <c r="L367" s="54" t="s">
        <v>166</v>
      </c>
      <c r="M367" s="60" t="s">
        <v>757</v>
      </c>
    </row>
    <row r="368" spans="1:13" ht="157.5">
      <c r="A368" s="46">
        <v>364</v>
      </c>
      <c r="B368" s="47" t="s">
        <v>563</v>
      </c>
      <c r="C368" s="47" t="s">
        <v>209</v>
      </c>
      <c r="D368" s="48">
        <f>182.66</f>
        <v>182.66</v>
      </c>
      <c r="E368" s="48">
        <f>182.66</f>
        <v>182.66</v>
      </c>
      <c r="F368" s="48">
        <f t="shared" si="5"/>
        <v>0</v>
      </c>
      <c r="G368" s="85" t="s">
        <v>754</v>
      </c>
      <c r="H368" s="50" t="s">
        <v>147</v>
      </c>
      <c r="I368" s="47" t="s">
        <v>31</v>
      </c>
      <c r="J368" s="51">
        <v>55300000</v>
      </c>
      <c r="K368" s="47" t="str">
        <f>'[1]გეგმა 2024'!C62</f>
        <v xml:space="preserve">რესტორნებისა და კვების საწარმოების მომსახურეობები </v>
      </c>
      <c r="L368" s="54" t="s">
        <v>166</v>
      </c>
      <c r="M368" s="60" t="s">
        <v>758</v>
      </c>
    </row>
    <row r="369" spans="1:13" ht="146.25">
      <c r="A369" s="46">
        <v>365</v>
      </c>
      <c r="B369" s="69" t="s">
        <v>759</v>
      </c>
      <c r="C369" s="47" t="s">
        <v>760</v>
      </c>
      <c r="D369" s="48">
        <f>747.91</f>
        <v>747.91</v>
      </c>
      <c r="E369" s="48">
        <f>747.91</f>
        <v>747.91</v>
      </c>
      <c r="F369" s="48">
        <f t="shared" si="5"/>
        <v>0</v>
      </c>
      <c r="G369" s="85" t="s">
        <v>754</v>
      </c>
      <c r="H369" s="50" t="s">
        <v>147</v>
      </c>
      <c r="I369" s="47" t="s">
        <v>31</v>
      </c>
      <c r="J369" s="51">
        <v>79500000</v>
      </c>
      <c r="K369" s="47" t="str">
        <f>'[1]გეგმა 2024'!C93</f>
        <v>ტექსტების დაწერა/თარგმნა/რედაქტირება.</v>
      </c>
      <c r="L369" s="47" t="s">
        <v>70</v>
      </c>
      <c r="M369" s="60" t="s">
        <v>761</v>
      </c>
    </row>
    <row r="370" spans="1:13" ht="157.5">
      <c r="A370" s="46">
        <v>366</v>
      </c>
      <c r="B370" s="47" t="s">
        <v>762</v>
      </c>
      <c r="C370" s="47" t="s">
        <v>207</v>
      </c>
      <c r="D370" s="48">
        <f>271.4</f>
        <v>271.39999999999998</v>
      </c>
      <c r="E370" s="48">
        <f>271.4</f>
        <v>271.39999999999998</v>
      </c>
      <c r="F370" s="48">
        <f t="shared" si="5"/>
        <v>0</v>
      </c>
      <c r="G370" s="85" t="s">
        <v>754</v>
      </c>
      <c r="H370" s="50" t="s">
        <v>147</v>
      </c>
      <c r="I370" s="47" t="s">
        <v>31</v>
      </c>
      <c r="J370" s="89">
        <v>55100000</v>
      </c>
      <c r="K370" s="47" t="str">
        <f>'[1]გეგმა 2024'!C59</f>
        <v>სასტუმროს მომსახურება</v>
      </c>
      <c r="L370" s="47" t="s">
        <v>166</v>
      </c>
      <c r="M370" s="60" t="s">
        <v>763</v>
      </c>
    </row>
    <row r="371" spans="1:13" ht="157.5">
      <c r="A371" s="46">
        <v>367</v>
      </c>
      <c r="B371" s="47" t="s">
        <v>764</v>
      </c>
      <c r="C371" s="47" t="s">
        <v>209</v>
      </c>
      <c r="D371" s="48">
        <f>200.2</f>
        <v>200.2</v>
      </c>
      <c r="E371" s="48">
        <f>200.2</f>
        <v>200.2</v>
      </c>
      <c r="F371" s="48">
        <f t="shared" si="5"/>
        <v>0</v>
      </c>
      <c r="G371" s="85" t="s">
        <v>765</v>
      </c>
      <c r="H371" s="50" t="s">
        <v>147</v>
      </c>
      <c r="I371" s="47" t="s">
        <v>31</v>
      </c>
      <c r="J371" s="89">
        <v>55300000</v>
      </c>
      <c r="K371" s="47" t="str">
        <f>'[1]გეგმა 2024'!C62</f>
        <v xml:space="preserve">რესტორნებისა და კვების საწარმოების მომსახურეობები </v>
      </c>
      <c r="L371" s="47" t="s">
        <v>166</v>
      </c>
      <c r="M371" s="60" t="s">
        <v>766</v>
      </c>
    </row>
    <row r="372" spans="1:13" ht="146.25">
      <c r="A372" s="46">
        <v>369</v>
      </c>
      <c r="B372" s="47" t="s">
        <v>767</v>
      </c>
      <c r="C372" s="47" t="s">
        <v>768</v>
      </c>
      <c r="D372" s="48">
        <v>35</v>
      </c>
      <c r="E372" s="48">
        <f>35</f>
        <v>35</v>
      </c>
      <c r="F372" s="48">
        <f t="shared" si="5"/>
        <v>0</v>
      </c>
      <c r="G372" s="85" t="s">
        <v>765</v>
      </c>
      <c r="H372" s="50" t="s">
        <v>147</v>
      </c>
      <c r="I372" s="47" t="s">
        <v>31</v>
      </c>
      <c r="J372" s="89">
        <v>79600000</v>
      </c>
      <c r="K372" s="47" t="str">
        <f>'[1]გეგმა 2024'!C95</f>
        <v>პერსონალის დაქირავებასთან დაკავშირებული მომსახურებები</v>
      </c>
      <c r="L372" s="47" t="s">
        <v>70</v>
      </c>
      <c r="M372" s="90" t="s">
        <v>769</v>
      </c>
    </row>
    <row r="373" spans="1:13" ht="303.75">
      <c r="A373" s="46">
        <v>370</v>
      </c>
      <c r="B373" s="47" t="s">
        <v>770</v>
      </c>
      <c r="C373" s="47" t="s">
        <v>771</v>
      </c>
      <c r="D373" s="48">
        <v>32280</v>
      </c>
      <c r="E373" s="48">
        <f>32280</f>
        <v>32280</v>
      </c>
      <c r="F373" s="48">
        <f t="shared" ref="F373:F436" si="6">D373-E373</f>
        <v>0</v>
      </c>
      <c r="G373" s="85" t="s">
        <v>765</v>
      </c>
      <c r="H373" s="50" t="s">
        <v>147</v>
      </c>
      <c r="I373" s="47" t="s">
        <v>31</v>
      </c>
      <c r="J373" s="89">
        <v>80500000</v>
      </c>
      <c r="K373" s="47" t="str">
        <f>'[1]გეგმა 2024'!C103</f>
        <v>სატრენინგო მომსახურებები.</v>
      </c>
      <c r="L373" s="47" t="s">
        <v>108</v>
      </c>
      <c r="M373" s="53" t="s">
        <v>772</v>
      </c>
    </row>
    <row r="374" spans="1:13" ht="157.5">
      <c r="A374" s="46">
        <v>371</v>
      </c>
      <c r="B374" s="47" t="s">
        <v>284</v>
      </c>
      <c r="C374" s="47" t="s">
        <v>188</v>
      </c>
      <c r="D374" s="48">
        <v>4300</v>
      </c>
      <c r="E374" s="48">
        <f>4300</f>
        <v>4300</v>
      </c>
      <c r="F374" s="48">
        <f t="shared" si="6"/>
        <v>0</v>
      </c>
      <c r="G374" s="85" t="s">
        <v>773</v>
      </c>
      <c r="H374" s="50" t="s">
        <v>147</v>
      </c>
      <c r="I374" s="47" t="s">
        <v>31</v>
      </c>
      <c r="J374" s="51">
        <v>60100000</v>
      </c>
      <c r="K374" s="47" t="str">
        <f>'[1]გეგმა 2024'!C64</f>
        <v xml:space="preserve"> საავტომობილო ტრანსპორტის მომსახურებები</v>
      </c>
      <c r="L374" s="47" t="s">
        <v>166</v>
      </c>
      <c r="M374" s="90" t="s">
        <v>774</v>
      </c>
    </row>
    <row r="375" spans="1:13" ht="157.5">
      <c r="A375" s="46">
        <v>372</v>
      </c>
      <c r="B375" s="47" t="s">
        <v>775</v>
      </c>
      <c r="C375" s="47" t="s">
        <v>209</v>
      </c>
      <c r="D375" s="48">
        <v>1700</v>
      </c>
      <c r="E375" s="48">
        <f>1700</f>
        <v>1700</v>
      </c>
      <c r="F375" s="48">
        <f t="shared" si="6"/>
        <v>0</v>
      </c>
      <c r="G375" s="85" t="s">
        <v>773</v>
      </c>
      <c r="H375" s="50" t="s">
        <v>147</v>
      </c>
      <c r="I375" s="47" t="s">
        <v>31</v>
      </c>
      <c r="J375" s="89">
        <v>55300000</v>
      </c>
      <c r="K375" s="47" t="str">
        <f>'[1]გეგმა 2024'!C62</f>
        <v xml:space="preserve">რესტორნებისა და კვების საწარმოების მომსახურეობები </v>
      </c>
      <c r="L375" s="47" t="s">
        <v>166</v>
      </c>
      <c r="M375" s="90" t="s">
        <v>776</v>
      </c>
    </row>
    <row r="376" spans="1:13" ht="157.5">
      <c r="A376" s="46">
        <v>373</v>
      </c>
      <c r="B376" s="47" t="s">
        <v>777</v>
      </c>
      <c r="C376" s="47" t="s">
        <v>207</v>
      </c>
      <c r="D376" s="48">
        <v>2800</v>
      </c>
      <c r="E376" s="48">
        <f>2800</f>
        <v>2800</v>
      </c>
      <c r="F376" s="48">
        <f t="shared" si="6"/>
        <v>0</v>
      </c>
      <c r="G376" s="85" t="s">
        <v>773</v>
      </c>
      <c r="H376" s="50" t="s">
        <v>147</v>
      </c>
      <c r="I376" s="47" t="s">
        <v>31</v>
      </c>
      <c r="J376" s="89">
        <v>55100000</v>
      </c>
      <c r="K376" s="47" t="str">
        <f>'[1]გეგმა 2024'!C59</f>
        <v>სასტუმროს მომსახურება</v>
      </c>
      <c r="L376" s="47" t="s">
        <v>166</v>
      </c>
      <c r="M376" s="90" t="s">
        <v>778</v>
      </c>
    </row>
    <row r="377" spans="1:13" ht="157.5">
      <c r="A377" s="46">
        <v>374</v>
      </c>
      <c r="B377" s="47" t="s">
        <v>779</v>
      </c>
      <c r="C377" s="47" t="s">
        <v>209</v>
      </c>
      <c r="D377" s="48">
        <v>1600</v>
      </c>
      <c r="E377" s="48">
        <f>1600</f>
        <v>1600</v>
      </c>
      <c r="F377" s="48">
        <f t="shared" si="6"/>
        <v>0</v>
      </c>
      <c r="G377" s="85" t="s">
        <v>780</v>
      </c>
      <c r="H377" s="50" t="s">
        <v>147</v>
      </c>
      <c r="I377" s="47" t="s">
        <v>31</v>
      </c>
      <c r="J377" s="89">
        <v>55300000</v>
      </c>
      <c r="K377" s="47" t="str">
        <f>'[1]გეგმა 2024'!C62</f>
        <v xml:space="preserve">რესტორნებისა და კვების საწარმოების მომსახურეობები </v>
      </c>
      <c r="L377" s="47" t="s">
        <v>166</v>
      </c>
      <c r="M377" s="53" t="s">
        <v>781</v>
      </c>
    </row>
    <row r="378" spans="1:13" ht="157.5">
      <c r="A378" s="46">
        <v>375</v>
      </c>
      <c r="B378" s="47" t="s">
        <v>260</v>
      </c>
      <c r="C378" s="47" t="s">
        <v>207</v>
      </c>
      <c r="D378" s="48">
        <v>10620</v>
      </c>
      <c r="E378" s="48">
        <f>10620</f>
        <v>10620</v>
      </c>
      <c r="F378" s="48">
        <f t="shared" si="6"/>
        <v>0</v>
      </c>
      <c r="G378" s="85" t="s">
        <v>780</v>
      </c>
      <c r="H378" s="50" t="s">
        <v>147</v>
      </c>
      <c r="I378" s="47" t="s">
        <v>31</v>
      </c>
      <c r="J378" s="89">
        <v>55100000</v>
      </c>
      <c r="K378" s="47" t="str">
        <f>'[1]გეგმა 2024'!C59</f>
        <v>სასტუმროს მომსახურება</v>
      </c>
      <c r="L378" s="47" t="s">
        <v>166</v>
      </c>
      <c r="M378" s="90" t="s">
        <v>782</v>
      </c>
    </row>
    <row r="379" spans="1:13" ht="78.75">
      <c r="A379" s="46">
        <v>376</v>
      </c>
      <c r="B379" s="47" t="s">
        <v>783</v>
      </c>
      <c r="C379" s="47" t="s">
        <v>784</v>
      </c>
      <c r="D379" s="48">
        <v>79600</v>
      </c>
      <c r="E379" s="48">
        <f>79600</f>
        <v>79600</v>
      </c>
      <c r="F379" s="48">
        <f t="shared" si="6"/>
        <v>0</v>
      </c>
      <c r="G379" s="85" t="s">
        <v>780</v>
      </c>
      <c r="H379" s="50" t="s">
        <v>147</v>
      </c>
      <c r="I379" s="47" t="s">
        <v>24</v>
      </c>
      <c r="J379" s="100">
        <v>18500000</v>
      </c>
      <c r="K379" s="47" t="str">
        <f>'[1]გეგმა 2024'!C17</f>
        <v>სამკაულები, საათები და მონათესავე ნივთები</v>
      </c>
      <c r="L379" s="47" t="s">
        <v>785</v>
      </c>
      <c r="M379" s="90"/>
    </row>
    <row r="380" spans="1:13" ht="78.75">
      <c r="A380" s="21">
        <v>377</v>
      </c>
      <c r="B380" s="2" t="s">
        <v>110</v>
      </c>
      <c r="C380" s="2" t="s">
        <v>786</v>
      </c>
      <c r="D380" s="22">
        <v>173000</v>
      </c>
      <c r="E380" s="22"/>
      <c r="F380" s="22">
        <f t="shared" si="6"/>
        <v>173000</v>
      </c>
      <c r="G380" s="92" t="s">
        <v>780</v>
      </c>
      <c r="H380" s="45" t="s">
        <v>147</v>
      </c>
      <c r="I380" s="2" t="s">
        <v>24</v>
      </c>
      <c r="J380" s="101">
        <v>72400000</v>
      </c>
      <c r="K380" s="2" t="str">
        <f>'[1]გეგმა 2024'!C82</f>
        <v>ინტერნეტ მომსახურებები</v>
      </c>
      <c r="L380" s="2" t="s">
        <v>787</v>
      </c>
      <c r="M380" s="24"/>
    </row>
    <row r="381" spans="1:13" ht="157.5">
      <c r="A381" s="46">
        <v>378</v>
      </c>
      <c r="B381" s="47" t="s">
        <v>171</v>
      </c>
      <c r="C381" s="47" t="s">
        <v>172</v>
      </c>
      <c r="D381" s="48">
        <v>173.8</v>
      </c>
      <c r="E381" s="48">
        <f>173.8</f>
        <v>173.8</v>
      </c>
      <c r="F381" s="48">
        <f t="shared" si="6"/>
        <v>0</v>
      </c>
      <c r="G381" s="85" t="s">
        <v>780</v>
      </c>
      <c r="H381" s="50" t="s">
        <v>147</v>
      </c>
      <c r="I381" s="47" t="s">
        <v>31</v>
      </c>
      <c r="J381" s="100">
        <v>15800000</v>
      </c>
      <c r="K381" s="47" t="str">
        <f>'[1]გეგმა 2024'!C12</f>
        <v>სხვადასხვა საკვები პროდუქტი</v>
      </c>
      <c r="L381" s="47" t="s">
        <v>166</v>
      </c>
      <c r="M381" s="53" t="s">
        <v>788</v>
      </c>
    </row>
    <row r="382" spans="1:13" ht="303.75">
      <c r="A382" s="46">
        <v>379</v>
      </c>
      <c r="B382" s="47" t="s">
        <v>789</v>
      </c>
      <c r="C382" s="47" t="s">
        <v>790</v>
      </c>
      <c r="D382" s="48">
        <f>7289</f>
        <v>7289</v>
      </c>
      <c r="E382" s="48">
        <f>7289</f>
        <v>7289</v>
      </c>
      <c r="F382" s="48">
        <f t="shared" si="6"/>
        <v>0</v>
      </c>
      <c r="G382" s="85" t="s">
        <v>791</v>
      </c>
      <c r="H382" s="50" t="s">
        <v>147</v>
      </c>
      <c r="I382" s="47" t="s">
        <v>31</v>
      </c>
      <c r="J382" s="100">
        <v>55300000</v>
      </c>
      <c r="K382" s="47" t="str">
        <f>'[1]გეგმა 2024'!C60</f>
        <v>რესტორნებისა და კვების საწარმოების მომსახურეობები ..</v>
      </c>
      <c r="L382" s="47" t="s">
        <v>108</v>
      </c>
      <c r="M382" s="60" t="s">
        <v>792</v>
      </c>
    </row>
    <row r="383" spans="1:13" ht="157.5">
      <c r="A383" s="46">
        <v>380</v>
      </c>
      <c r="B383" s="47" t="s">
        <v>198</v>
      </c>
      <c r="C383" s="47" t="s">
        <v>165</v>
      </c>
      <c r="D383" s="48">
        <v>13621</v>
      </c>
      <c r="E383" s="48">
        <f>13621</f>
        <v>13621</v>
      </c>
      <c r="F383" s="48">
        <f t="shared" si="6"/>
        <v>0</v>
      </c>
      <c r="G383" s="85" t="s">
        <v>793</v>
      </c>
      <c r="H383" s="50" t="s">
        <v>147</v>
      </c>
      <c r="I383" s="47" t="s">
        <v>31</v>
      </c>
      <c r="J383" s="100">
        <v>60400000</v>
      </c>
      <c r="K383" s="47" t="str">
        <f>'[1]გეგმა 2024'!C65</f>
        <v>საჰაერო ტრანსპორტის მომსახურებები</v>
      </c>
      <c r="L383" s="47" t="s">
        <v>166</v>
      </c>
      <c r="M383" s="90" t="s">
        <v>794</v>
      </c>
    </row>
    <row r="384" spans="1:13" ht="157.5">
      <c r="A384" s="46">
        <v>381</v>
      </c>
      <c r="B384" s="47" t="s">
        <v>200</v>
      </c>
      <c r="C384" s="47" t="s">
        <v>165</v>
      </c>
      <c r="D384" s="48">
        <v>1137</v>
      </c>
      <c r="E384" s="48">
        <f>1137</f>
        <v>1137</v>
      </c>
      <c r="F384" s="48">
        <f t="shared" si="6"/>
        <v>0</v>
      </c>
      <c r="G384" s="85" t="s">
        <v>793</v>
      </c>
      <c r="H384" s="50" t="s">
        <v>147</v>
      </c>
      <c r="I384" s="47" t="s">
        <v>31</v>
      </c>
      <c r="J384" s="100">
        <v>60400000</v>
      </c>
      <c r="K384" s="47" t="str">
        <f>'[1]გეგმა 2024'!C65</f>
        <v>საჰაერო ტრანსპორტის მომსახურებები</v>
      </c>
      <c r="L384" s="47" t="s">
        <v>166</v>
      </c>
      <c r="M384" s="90" t="s">
        <v>795</v>
      </c>
    </row>
    <row r="385" spans="1:13" ht="157.5">
      <c r="A385" s="46">
        <v>382</v>
      </c>
      <c r="B385" s="47" t="s">
        <v>198</v>
      </c>
      <c r="C385" s="47" t="s">
        <v>165</v>
      </c>
      <c r="D385" s="48">
        <v>3314</v>
      </c>
      <c r="E385" s="48">
        <f>3314</f>
        <v>3314</v>
      </c>
      <c r="F385" s="48">
        <f t="shared" si="6"/>
        <v>0</v>
      </c>
      <c r="G385" s="85" t="s">
        <v>793</v>
      </c>
      <c r="H385" s="50" t="s">
        <v>147</v>
      </c>
      <c r="I385" s="47" t="s">
        <v>31</v>
      </c>
      <c r="J385" s="100">
        <v>60400000</v>
      </c>
      <c r="K385" s="47" t="str">
        <f>'[1]გეგმა 2024'!C65</f>
        <v>საჰაერო ტრანსპორტის მომსახურებები</v>
      </c>
      <c r="L385" s="47" t="s">
        <v>166</v>
      </c>
      <c r="M385" s="90" t="s">
        <v>796</v>
      </c>
    </row>
    <row r="386" spans="1:13" ht="157.5">
      <c r="A386" s="21">
        <v>383</v>
      </c>
      <c r="B386" s="2" t="s">
        <v>37</v>
      </c>
      <c r="C386" s="2" t="s">
        <v>797</v>
      </c>
      <c r="D386" s="22">
        <v>5000</v>
      </c>
      <c r="E386" s="22">
        <f>100</f>
        <v>100</v>
      </c>
      <c r="F386" s="22">
        <f t="shared" si="6"/>
        <v>4900</v>
      </c>
      <c r="G386" s="92" t="s">
        <v>798</v>
      </c>
      <c r="H386" s="45" t="s">
        <v>147</v>
      </c>
      <c r="I386" s="2" t="s">
        <v>31</v>
      </c>
      <c r="J386" s="23">
        <v>50100000</v>
      </c>
      <c r="K386" s="2" t="str">
        <f>'[1]გეგმა 2024'!C52</f>
        <v>ავტომობილების ტექნიკური მომსახურება</v>
      </c>
      <c r="L386" s="24" t="s">
        <v>81</v>
      </c>
      <c r="M386" s="97" t="s">
        <v>799</v>
      </c>
    </row>
    <row r="387" spans="1:13" ht="157.5">
      <c r="A387" s="46">
        <v>384</v>
      </c>
      <c r="B387" s="47" t="s">
        <v>164</v>
      </c>
      <c r="C387" s="47" t="s">
        <v>165</v>
      </c>
      <c r="D387" s="48">
        <v>13775</v>
      </c>
      <c r="E387" s="48">
        <f>13775</f>
        <v>13775</v>
      </c>
      <c r="F387" s="48">
        <f t="shared" si="6"/>
        <v>0</v>
      </c>
      <c r="G387" s="85" t="s">
        <v>800</v>
      </c>
      <c r="H387" s="50" t="s">
        <v>147</v>
      </c>
      <c r="I387" s="47" t="s">
        <v>31</v>
      </c>
      <c r="J387" s="100">
        <v>60400000</v>
      </c>
      <c r="K387" s="47" t="str">
        <f>'[1]გეგმა 2024'!C65</f>
        <v>საჰაერო ტრანსპორტის მომსახურებები</v>
      </c>
      <c r="L387" s="47" t="s">
        <v>166</v>
      </c>
      <c r="M387" s="53" t="s">
        <v>801</v>
      </c>
    </row>
    <row r="388" spans="1:13" ht="146.25">
      <c r="A388" s="46">
        <v>385</v>
      </c>
      <c r="B388" s="47" t="s">
        <v>802</v>
      </c>
      <c r="C388" s="47" t="s">
        <v>803</v>
      </c>
      <c r="D388" s="48">
        <v>59.94</v>
      </c>
      <c r="E388" s="48">
        <f>59.94</f>
        <v>59.94</v>
      </c>
      <c r="F388" s="48">
        <f t="shared" si="6"/>
        <v>0</v>
      </c>
      <c r="G388" s="85" t="s">
        <v>800</v>
      </c>
      <c r="H388" s="50" t="s">
        <v>147</v>
      </c>
      <c r="I388" s="47" t="s">
        <v>31</v>
      </c>
      <c r="J388" s="100">
        <v>38600000</v>
      </c>
      <c r="K388" s="47" t="str">
        <f>'[1]გეგმა 2024'!C35</f>
        <v>ოპტიკური ხელსაწყოები</v>
      </c>
      <c r="L388" s="102" t="s">
        <v>70</v>
      </c>
      <c r="M388" s="53" t="s">
        <v>804</v>
      </c>
    </row>
    <row r="389" spans="1:13" ht="157.5">
      <c r="A389" s="21">
        <v>386</v>
      </c>
      <c r="B389" s="2" t="s">
        <v>200</v>
      </c>
      <c r="C389" s="2" t="s">
        <v>165</v>
      </c>
      <c r="D389" s="22">
        <v>2718</v>
      </c>
      <c r="E389" s="22"/>
      <c r="F389" s="22">
        <f t="shared" si="6"/>
        <v>2718</v>
      </c>
      <c r="G389" s="92" t="s">
        <v>800</v>
      </c>
      <c r="H389" s="45" t="s">
        <v>147</v>
      </c>
      <c r="I389" s="2" t="s">
        <v>31</v>
      </c>
      <c r="J389" s="101">
        <v>60400000</v>
      </c>
      <c r="K389" s="2" t="str">
        <f>'[1]გეგმა 2024'!C65</f>
        <v>საჰაერო ტრანსპორტის მომსახურებები</v>
      </c>
      <c r="L389" s="2" t="s">
        <v>166</v>
      </c>
      <c r="M389" s="97" t="s">
        <v>805</v>
      </c>
    </row>
    <row r="390" spans="1:13" ht="157.5">
      <c r="A390" s="46">
        <v>387</v>
      </c>
      <c r="B390" s="47" t="s">
        <v>806</v>
      </c>
      <c r="C390" s="47" t="s">
        <v>807</v>
      </c>
      <c r="D390" s="48">
        <v>1876.8</v>
      </c>
      <c r="E390" s="48">
        <f>1876.8</f>
        <v>1876.8</v>
      </c>
      <c r="F390" s="48">
        <f t="shared" si="6"/>
        <v>0</v>
      </c>
      <c r="G390" s="85" t="s">
        <v>800</v>
      </c>
      <c r="H390" s="50" t="s">
        <v>147</v>
      </c>
      <c r="I390" s="47" t="s">
        <v>31</v>
      </c>
      <c r="J390" s="100">
        <v>15900000</v>
      </c>
      <c r="K390" s="47" t="str">
        <f>'[1]გეგმა 2024'!C13</f>
        <v>სასმელი, თამბაქო და მონათესავე პროდუქტები (ღვინო)</v>
      </c>
      <c r="L390" s="47" t="s">
        <v>166</v>
      </c>
      <c r="M390" s="53" t="s">
        <v>808</v>
      </c>
    </row>
    <row r="391" spans="1:13" ht="303.75">
      <c r="A391" s="21">
        <v>388</v>
      </c>
      <c r="B391" s="2" t="s">
        <v>809</v>
      </c>
      <c r="C391" s="2" t="s">
        <v>810</v>
      </c>
      <c r="D391" s="22">
        <v>3262000</v>
      </c>
      <c r="E391" s="22">
        <f>2736344+492541.92</f>
        <v>3228885.92</v>
      </c>
      <c r="F391" s="22">
        <f t="shared" si="6"/>
        <v>33114.080000000075</v>
      </c>
      <c r="G391" s="92" t="s">
        <v>800</v>
      </c>
      <c r="H391" s="45" t="s">
        <v>147</v>
      </c>
      <c r="I391" s="2" t="s">
        <v>31</v>
      </c>
      <c r="J391" s="101">
        <v>79300000</v>
      </c>
      <c r="K391" s="2" t="str">
        <f>'[1]გეგმა 2024'!C87</f>
        <v>ბაზრის კვლევა და ეკონომიკური კვლევა გამოკითხვები და სტატისტიკა.</v>
      </c>
      <c r="L391" s="2" t="s">
        <v>108</v>
      </c>
      <c r="M391" s="97" t="s">
        <v>811</v>
      </c>
    </row>
    <row r="392" spans="1:13" ht="157.5">
      <c r="A392" s="46">
        <v>389</v>
      </c>
      <c r="B392" s="47" t="s">
        <v>812</v>
      </c>
      <c r="C392" s="47" t="s">
        <v>207</v>
      </c>
      <c r="D392" s="48">
        <v>28202</v>
      </c>
      <c r="E392" s="48">
        <f>28202</f>
        <v>28202</v>
      </c>
      <c r="F392" s="48">
        <f t="shared" si="6"/>
        <v>0</v>
      </c>
      <c r="G392" s="85" t="s">
        <v>800</v>
      </c>
      <c r="H392" s="50" t="s">
        <v>147</v>
      </c>
      <c r="I392" s="47" t="s">
        <v>31</v>
      </c>
      <c r="J392" s="89">
        <v>55100000</v>
      </c>
      <c r="K392" s="47" t="str">
        <f>'[1]გეგმა 2024'!C59</f>
        <v>სასტუმროს მომსახურება</v>
      </c>
      <c r="L392" s="47" t="s">
        <v>166</v>
      </c>
      <c r="M392" s="53" t="s">
        <v>813</v>
      </c>
    </row>
    <row r="393" spans="1:13" ht="157.5">
      <c r="A393" s="46">
        <v>390</v>
      </c>
      <c r="B393" s="47" t="s">
        <v>814</v>
      </c>
      <c r="C393" s="47" t="s">
        <v>587</v>
      </c>
      <c r="D393" s="48">
        <v>840</v>
      </c>
      <c r="E393" s="48">
        <f>840</f>
        <v>840</v>
      </c>
      <c r="F393" s="48">
        <f t="shared" si="6"/>
        <v>0</v>
      </c>
      <c r="G393" s="85" t="s">
        <v>815</v>
      </c>
      <c r="H393" s="50" t="s">
        <v>147</v>
      </c>
      <c r="I393" s="47" t="s">
        <v>31</v>
      </c>
      <c r="J393" s="100">
        <v>18500000</v>
      </c>
      <c r="K393" s="47" t="str">
        <f>'[1]გეგმა 2024'!C16</f>
        <v>სამკაულები, საათები და მონათესავე ნივთები.</v>
      </c>
      <c r="L393" s="47" t="s">
        <v>166</v>
      </c>
      <c r="M393" s="90" t="s">
        <v>816</v>
      </c>
    </row>
    <row r="394" spans="1:13" ht="157.5">
      <c r="A394" s="46">
        <v>391</v>
      </c>
      <c r="B394" s="47" t="s">
        <v>817</v>
      </c>
      <c r="C394" s="47" t="s">
        <v>818</v>
      </c>
      <c r="D394" s="48">
        <v>395</v>
      </c>
      <c r="E394" s="48">
        <f>395</f>
        <v>395</v>
      </c>
      <c r="F394" s="48">
        <f t="shared" si="6"/>
        <v>0</v>
      </c>
      <c r="G394" s="85" t="s">
        <v>815</v>
      </c>
      <c r="H394" s="50" t="s">
        <v>147</v>
      </c>
      <c r="I394" s="47" t="s">
        <v>31</v>
      </c>
      <c r="J394" s="100">
        <v>18500000</v>
      </c>
      <c r="K394" s="47" t="str">
        <f>'[1]გეგმა 2024'!C16</f>
        <v>სამკაულები, საათები და მონათესავე ნივთები.</v>
      </c>
      <c r="L394" s="47" t="s">
        <v>166</v>
      </c>
      <c r="M394" s="60" t="s">
        <v>819</v>
      </c>
    </row>
    <row r="395" spans="1:13" ht="146.25">
      <c r="A395" s="46">
        <v>392</v>
      </c>
      <c r="B395" s="47" t="s">
        <v>820</v>
      </c>
      <c r="C395" s="47" t="s">
        <v>821</v>
      </c>
      <c r="D395" s="48">
        <v>110.17</v>
      </c>
      <c r="E395" s="48">
        <f>110.17</f>
        <v>110.17</v>
      </c>
      <c r="F395" s="48">
        <f t="shared" si="6"/>
        <v>0</v>
      </c>
      <c r="G395" s="85" t="s">
        <v>815</v>
      </c>
      <c r="H395" s="50" t="s">
        <v>147</v>
      </c>
      <c r="I395" s="47" t="s">
        <v>31</v>
      </c>
      <c r="J395" s="100">
        <v>44100000</v>
      </c>
      <c r="K395" s="47" t="str">
        <f>'[1]გეგმა 2024'!C45</f>
        <v>სამშენებლო მასალები და დამხმარე სამშენებლო მასალები</v>
      </c>
      <c r="L395" s="102" t="s">
        <v>70</v>
      </c>
      <c r="M395" s="60" t="s">
        <v>822</v>
      </c>
    </row>
    <row r="396" spans="1:13" ht="157.5">
      <c r="A396" s="46">
        <v>393</v>
      </c>
      <c r="B396" s="47" t="s">
        <v>490</v>
      </c>
      <c r="C396" s="47" t="s">
        <v>240</v>
      </c>
      <c r="D396" s="48">
        <v>1460</v>
      </c>
      <c r="E396" s="48">
        <f>1460</f>
        <v>1460</v>
      </c>
      <c r="F396" s="48">
        <f t="shared" si="6"/>
        <v>0</v>
      </c>
      <c r="G396" s="85" t="s">
        <v>815</v>
      </c>
      <c r="H396" s="50" t="s">
        <v>147</v>
      </c>
      <c r="I396" s="47" t="s">
        <v>31</v>
      </c>
      <c r="J396" s="89">
        <v>63500000</v>
      </c>
      <c r="K396" s="47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396" s="47" t="s">
        <v>166</v>
      </c>
      <c r="M396" s="60" t="s">
        <v>823</v>
      </c>
    </row>
    <row r="397" spans="1:13" ht="157.5">
      <c r="A397" s="46">
        <v>394</v>
      </c>
      <c r="B397" s="47" t="s">
        <v>187</v>
      </c>
      <c r="C397" s="47" t="s">
        <v>188</v>
      </c>
      <c r="D397" s="48">
        <v>3600</v>
      </c>
      <c r="E397" s="48">
        <f>3600</f>
        <v>3600</v>
      </c>
      <c r="F397" s="48">
        <f t="shared" si="6"/>
        <v>0</v>
      </c>
      <c r="G397" s="85" t="s">
        <v>815</v>
      </c>
      <c r="H397" s="50" t="s">
        <v>147</v>
      </c>
      <c r="I397" s="47" t="s">
        <v>31</v>
      </c>
      <c r="J397" s="51">
        <v>60100000</v>
      </c>
      <c r="K397" s="47" t="str">
        <f>'[1]გეგმა 2024'!C64</f>
        <v xml:space="preserve"> საავტომობილო ტრანსპორტის მომსახურებები</v>
      </c>
      <c r="L397" s="47" t="s">
        <v>166</v>
      </c>
      <c r="M397" s="60" t="s">
        <v>824</v>
      </c>
    </row>
    <row r="398" spans="1:13" ht="157.5">
      <c r="A398" s="46">
        <v>395</v>
      </c>
      <c r="B398" s="47" t="s">
        <v>825</v>
      </c>
      <c r="C398" s="47" t="s">
        <v>207</v>
      </c>
      <c r="D398" s="48">
        <f>10206</f>
        <v>10206</v>
      </c>
      <c r="E398" s="48">
        <f>10206</f>
        <v>10206</v>
      </c>
      <c r="F398" s="48">
        <f t="shared" si="6"/>
        <v>0</v>
      </c>
      <c r="G398" s="85" t="s">
        <v>815</v>
      </c>
      <c r="H398" s="50" t="s">
        <v>147</v>
      </c>
      <c r="I398" s="47" t="s">
        <v>31</v>
      </c>
      <c r="J398" s="89">
        <v>55100000</v>
      </c>
      <c r="K398" s="47" t="str">
        <f>'[1]გეგმა 2024'!C59</f>
        <v>სასტუმროს მომსახურება</v>
      </c>
      <c r="L398" s="47" t="s">
        <v>166</v>
      </c>
      <c r="M398" s="60" t="s">
        <v>826</v>
      </c>
    </row>
    <row r="399" spans="1:13" ht="157.5">
      <c r="A399" s="21">
        <v>396</v>
      </c>
      <c r="B399" s="2" t="s">
        <v>486</v>
      </c>
      <c r="C399" s="2" t="s">
        <v>207</v>
      </c>
      <c r="D399" s="22">
        <v>5200</v>
      </c>
      <c r="E399" s="22">
        <f>4680</f>
        <v>4680</v>
      </c>
      <c r="F399" s="22">
        <f t="shared" si="6"/>
        <v>520</v>
      </c>
      <c r="G399" s="92" t="s">
        <v>815</v>
      </c>
      <c r="H399" s="45" t="s">
        <v>147</v>
      </c>
      <c r="I399" s="2" t="s">
        <v>31</v>
      </c>
      <c r="J399" s="93">
        <v>55100000</v>
      </c>
      <c r="K399" s="2" t="str">
        <f>'[1]გეგმა 2024'!C59</f>
        <v>სასტუმროს მომსახურება</v>
      </c>
      <c r="L399" s="2" t="s">
        <v>166</v>
      </c>
      <c r="M399" s="24" t="s">
        <v>827</v>
      </c>
    </row>
    <row r="400" spans="1:13" ht="303.75">
      <c r="A400" s="46">
        <v>397</v>
      </c>
      <c r="B400" s="96" t="s">
        <v>702</v>
      </c>
      <c r="C400" s="103" t="s">
        <v>828</v>
      </c>
      <c r="D400" s="48">
        <f>1453.14</f>
        <v>1453.14</v>
      </c>
      <c r="E400" s="48">
        <f>1453.14</f>
        <v>1453.14</v>
      </c>
      <c r="F400" s="48">
        <f t="shared" si="6"/>
        <v>0</v>
      </c>
      <c r="G400" s="85" t="s">
        <v>829</v>
      </c>
      <c r="H400" s="50" t="s">
        <v>147</v>
      </c>
      <c r="I400" s="47" t="s">
        <v>31</v>
      </c>
      <c r="J400" s="51">
        <v>15900000</v>
      </c>
      <c r="K400" s="47" t="str">
        <f>'[1]გეგმა 2024'!C14</f>
        <v>სასმელი, თამბაქო და მონათესავე პროდუქტები (ღვინო).</v>
      </c>
      <c r="L400" s="47" t="s">
        <v>108</v>
      </c>
      <c r="M400" s="74" t="s">
        <v>830</v>
      </c>
    </row>
    <row r="401" spans="1:13" ht="157.5">
      <c r="A401" s="46">
        <v>398</v>
      </c>
      <c r="B401" s="47" t="s">
        <v>779</v>
      </c>
      <c r="C401" s="47" t="s">
        <v>207</v>
      </c>
      <c r="D401" s="48">
        <v>2800</v>
      </c>
      <c r="E401" s="48">
        <f>2800</f>
        <v>2800</v>
      </c>
      <c r="F401" s="48">
        <f t="shared" si="6"/>
        <v>0</v>
      </c>
      <c r="G401" s="85" t="s">
        <v>829</v>
      </c>
      <c r="H401" s="50" t="s">
        <v>147</v>
      </c>
      <c r="I401" s="47" t="s">
        <v>31</v>
      </c>
      <c r="J401" s="89">
        <v>55100000</v>
      </c>
      <c r="K401" s="47" t="str">
        <f>'[1]გეგმა 2024'!C59</f>
        <v>სასტუმროს მომსახურება</v>
      </c>
      <c r="L401" s="47" t="s">
        <v>166</v>
      </c>
      <c r="M401" s="53" t="s">
        <v>831</v>
      </c>
    </row>
    <row r="402" spans="1:13" ht="157.5">
      <c r="A402" s="46">
        <v>399</v>
      </c>
      <c r="B402" s="47" t="s">
        <v>775</v>
      </c>
      <c r="C402" s="47" t="s">
        <v>209</v>
      </c>
      <c r="D402" s="48">
        <v>1700</v>
      </c>
      <c r="E402" s="48">
        <f>1700</f>
        <v>1700</v>
      </c>
      <c r="F402" s="48">
        <f t="shared" si="6"/>
        <v>0</v>
      </c>
      <c r="G402" s="85" t="s">
        <v>829</v>
      </c>
      <c r="H402" s="50" t="s">
        <v>147</v>
      </c>
      <c r="I402" s="47" t="s">
        <v>31</v>
      </c>
      <c r="J402" s="51">
        <v>55300000</v>
      </c>
      <c r="K402" s="47" t="str">
        <f>'[1]გეგმა 2024'!C62</f>
        <v xml:space="preserve">რესტორნებისა და კვების საწარმოების მომსახურეობები </v>
      </c>
      <c r="L402" s="47" t="s">
        <v>166</v>
      </c>
      <c r="M402" s="53" t="s">
        <v>832</v>
      </c>
    </row>
    <row r="403" spans="1:13" ht="157.5">
      <c r="A403" s="46">
        <v>400</v>
      </c>
      <c r="B403" s="47" t="s">
        <v>779</v>
      </c>
      <c r="C403" s="47" t="s">
        <v>209</v>
      </c>
      <c r="D403" s="48">
        <v>1600</v>
      </c>
      <c r="E403" s="48">
        <f>1600</f>
        <v>1600</v>
      </c>
      <c r="F403" s="48">
        <f t="shared" si="6"/>
        <v>0</v>
      </c>
      <c r="G403" s="85" t="s">
        <v>829</v>
      </c>
      <c r="H403" s="50" t="s">
        <v>147</v>
      </c>
      <c r="I403" s="47" t="s">
        <v>31</v>
      </c>
      <c r="J403" s="51">
        <v>55300000</v>
      </c>
      <c r="K403" s="47" t="str">
        <f>'[1]გეგმა 2024'!C62</f>
        <v xml:space="preserve">რესტორნებისა და კვების საწარმოების მომსახურეობები </v>
      </c>
      <c r="L403" s="47" t="s">
        <v>166</v>
      </c>
      <c r="M403" s="60" t="s">
        <v>833</v>
      </c>
    </row>
    <row r="404" spans="1:13" ht="157.5">
      <c r="A404" s="46">
        <v>401</v>
      </c>
      <c r="B404" s="47" t="s">
        <v>523</v>
      </c>
      <c r="C404" s="47" t="s">
        <v>188</v>
      </c>
      <c r="D404" s="48">
        <v>4280</v>
      </c>
      <c r="E404" s="48">
        <f>4280</f>
        <v>4280</v>
      </c>
      <c r="F404" s="48">
        <f t="shared" si="6"/>
        <v>0</v>
      </c>
      <c r="G404" s="85" t="s">
        <v>829</v>
      </c>
      <c r="H404" s="50" t="s">
        <v>147</v>
      </c>
      <c r="I404" s="47" t="s">
        <v>31</v>
      </c>
      <c r="J404" s="51">
        <v>60100000</v>
      </c>
      <c r="K404" s="47" t="str">
        <f>'[1]გეგმა 2024'!C64</f>
        <v xml:space="preserve"> საავტომობილო ტრანსპორტის მომსახურებები</v>
      </c>
      <c r="L404" s="47" t="s">
        <v>166</v>
      </c>
      <c r="M404" s="60" t="s">
        <v>834</v>
      </c>
    </row>
    <row r="405" spans="1:13" ht="157.5">
      <c r="A405" s="46">
        <v>402</v>
      </c>
      <c r="B405" s="47" t="s">
        <v>200</v>
      </c>
      <c r="C405" s="47" t="s">
        <v>165</v>
      </c>
      <c r="D405" s="48">
        <v>2414</v>
      </c>
      <c r="E405" s="48">
        <f>2414</f>
        <v>2414</v>
      </c>
      <c r="F405" s="48">
        <f t="shared" si="6"/>
        <v>0</v>
      </c>
      <c r="G405" s="85" t="s">
        <v>829</v>
      </c>
      <c r="H405" s="50" t="s">
        <v>147</v>
      </c>
      <c r="I405" s="47" t="s">
        <v>31</v>
      </c>
      <c r="J405" s="100">
        <v>60400000</v>
      </c>
      <c r="K405" s="47" t="str">
        <f>'[1]გეგმა 2024'!C65</f>
        <v>საჰაერო ტრანსპორტის მომსახურებები</v>
      </c>
      <c r="L405" s="47" t="s">
        <v>166</v>
      </c>
      <c r="M405" s="53" t="s">
        <v>835</v>
      </c>
    </row>
    <row r="406" spans="1:13" ht="157.5">
      <c r="A406" s="46">
        <v>403</v>
      </c>
      <c r="B406" s="47" t="s">
        <v>836</v>
      </c>
      <c r="C406" s="47" t="s">
        <v>207</v>
      </c>
      <c r="D406" s="48">
        <v>3567.34</v>
      </c>
      <c r="E406" s="48">
        <f>3567.34</f>
        <v>3567.34</v>
      </c>
      <c r="F406" s="48">
        <f t="shared" si="6"/>
        <v>0</v>
      </c>
      <c r="G406" s="85" t="s">
        <v>829</v>
      </c>
      <c r="H406" s="50" t="s">
        <v>147</v>
      </c>
      <c r="I406" s="47" t="s">
        <v>31</v>
      </c>
      <c r="J406" s="89">
        <v>55100000</v>
      </c>
      <c r="K406" s="47" t="str">
        <f>'[1]გეგმა 2024'!C59</f>
        <v>სასტუმროს მომსახურება</v>
      </c>
      <c r="L406" s="47" t="s">
        <v>166</v>
      </c>
      <c r="M406" s="53" t="s">
        <v>837</v>
      </c>
    </row>
    <row r="407" spans="1:13" ht="157.5">
      <c r="A407" s="46">
        <v>404</v>
      </c>
      <c r="B407" s="47" t="s">
        <v>838</v>
      </c>
      <c r="C407" s="47" t="s">
        <v>207</v>
      </c>
      <c r="D407" s="48">
        <v>2000</v>
      </c>
      <c r="E407" s="48">
        <f>2000</f>
        <v>2000</v>
      </c>
      <c r="F407" s="48">
        <f t="shared" si="6"/>
        <v>0</v>
      </c>
      <c r="G407" s="85" t="s">
        <v>829</v>
      </c>
      <c r="H407" s="50" t="s">
        <v>147</v>
      </c>
      <c r="I407" s="47" t="s">
        <v>31</v>
      </c>
      <c r="J407" s="89">
        <v>55100000</v>
      </c>
      <c r="K407" s="47" t="str">
        <f>'[1]გეგმა 2024'!C59</f>
        <v>სასტუმროს მომსახურება</v>
      </c>
      <c r="L407" s="47" t="s">
        <v>166</v>
      </c>
      <c r="M407" s="60" t="s">
        <v>839</v>
      </c>
    </row>
    <row r="408" spans="1:13" ht="157.5">
      <c r="A408" s="46">
        <v>405</v>
      </c>
      <c r="B408" s="47" t="s">
        <v>502</v>
      </c>
      <c r="C408" s="47" t="s">
        <v>209</v>
      </c>
      <c r="D408" s="48">
        <v>3600</v>
      </c>
      <c r="E408" s="48">
        <f>3600</f>
        <v>3600</v>
      </c>
      <c r="F408" s="48">
        <f t="shared" si="6"/>
        <v>0</v>
      </c>
      <c r="G408" s="85" t="s">
        <v>829</v>
      </c>
      <c r="H408" s="50" t="s">
        <v>147</v>
      </c>
      <c r="I408" s="47" t="s">
        <v>31</v>
      </c>
      <c r="J408" s="51">
        <v>55300000</v>
      </c>
      <c r="K408" s="47" t="str">
        <f>'[1]გეგმა 2024'!C62</f>
        <v xml:space="preserve">რესტორნებისა და კვების საწარმოების მომსახურეობები </v>
      </c>
      <c r="L408" s="47" t="s">
        <v>166</v>
      </c>
      <c r="M408" s="53" t="s">
        <v>840</v>
      </c>
    </row>
    <row r="409" spans="1:13" ht="157.5">
      <c r="A409" s="46">
        <v>406</v>
      </c>
      <c r="B409" s="47" t="s">
        <v>318</v>
      </c>
      <c r="C409" s="47" t="s">
        <v>209</v>
      </c>
      <c r="D409" s="48">
        <f>1782.6</f>
        <v>1782.6</v>
      </c>
      <c r="E409" s="48">
        <f>1782.6</f>
        <v>1782.6</v>
      </c>
      <c r="F409" s="48">
        <f t="shared" si="6"/>
        <v>0</v>
      </c>
      <c r="G409" s="85" t="s">
        <v>829</v>
      </c>
      <c r="H409" s="50" t="s">
        <v>147</v>
      </c>
      <c r="I409" s="47" t="s">
        <v>31</v>
      </c>
      <c r="J409" s="51">
        <v>55300000</v>
      </c>
      <c r="K409" s="47" t="str">
        <f>'[1]გეგმა 2024'!C62</f>
        <v xml:space="preserve">რესტორნებისა და კვების საწარმოების მომსახურეობები </v>
      </c>
      <c r="L409" s="47" t="s">
        <v>166</v>
      </c>
      <c r="M409" s="53" t="s">
        <v>841</v>
      </c>
    </row>
    <row r="410" spans="1:13" ht="157.5">
      <c r="A410" s="46">
        <v>407</v>
      </c>
      <c r="B410" s="47" t="s">
        <v>312</v>
      </c>
      <c r="C410" s="47" t="s">
        <v>209</v>
      </c>
      <c r="D410" s="48">
        <f>779</f>
        <v>779</v>
      </c>
      <c r="E410" s="48">
        <f>779</f>
        <v>779</v>
      </c>
      <c r="F410" s="48">
        <f t="shared" si="6"/>
        <v>0</v>
      </c>
      <c r="G410" s="85" t="s">
        <v>829</v>
      </c>
      <c r="H410" s="50" t="s">
        <v>147</v>
      </c>
      <c r="I410" s="47" t="s">
        <v>31</v>
      </c>
      <c r="J410" s="51">
        <v>55300000</v>
      </c>
      <c r="K410" s="47" t="str">
        <f>'[1]გეგმა 2024'!C62</f>
        <v xml:space="preserve">რესტორნებისა და კვების საწარმოების მომსახურეობები </v>
      </c>
      <c r="L410" s="47" t="s">
        <v>166</v>
      </c>
      <c r="M410" s="72" t="s">
        <v>842</v>
      </c>
    </row>
    <row r="411" spans="1:13" ht="303.75">
      <c r="A411" s="21">
        <v>408</v>
      </c>
      <c r="B411" s="2" t="s">
        <v>843</v>
      </c>
      <c r="C411" s="2" t="s">
        <v>844</v>
      </c>
      <c r="D411" s="22">
        <v>457900</v>
      </c>
      <c r="E411" s="22"/>
      <c r="F411" s="22">
        <f t="shared" si="6"/>
        <v>457900</v>
      </c>
      <c r="G411" s="92" t="s">
        <v>829</v>
      </c>
      <c r="H411" s="45" t="s">
        <v>147</v>
      </c>
      <c r="I411" s="2" t="s">
        <v>31</v>
      </c>
      <c r="J411" s="23">
        <v>79300000</v>
      </c>
      <c r="K411" s="2" t="str">
        <f>'[1]გეგმა 2024'!C87</f>
        <v>ბაზრის კვლევა და ეკონომიკური კვლევა გამოკითხვები და სტატისტიკა.</v>
      </c>
      <c r="L411" s="26" t="s">
        <v>108</v>
      </c>
      <c r="M411" s="24"/>
    </row>
    <row r="412" spans="1:13" ht="180">
      <c r="A412" s="46">
        <v>409</v>
      </c>
      <c r="B412" s="47" t="s">
        <v>812</v>
      </c>
      <c r="C412" s="47" t="s">
        <v>209</v>
      </c>
      <c r="D412" s="48">
        <f>4998.48</f>
        <v>4998.4799999999996</v>
      </c>
      <c r="E412" s="48">
        <f>4998.48</f>
        <v>4998.4799999999996</v>
      </c>
      <c r="F412" s="48">
        <f t="shared" si="6"/>
        <v>0</v>
      </c>
      <c r="G412" s="85" t="s">
        <v>829</v>
      </c>
      <c r="H412" s="50" t="s">
        <v>147</v>
      </c>
      <c r="I412" s="47" t="s">
        <v>31</v>
      </c>
      <c r="J412" s="51">
        <v>55300000</v>
      </c>
      <c r="K412" s="47" t="str">
        <f>'[1]გეგმა 2024'!C62</f>
        <v xml:space="preserve">რესტორნებისა და კვების საწარმოების მომსახურეობები </v>
      </c>
      <c r="L412" s="47" t="s">
        <v>845</v>
      </c>
      <c r="M412" s="60" t="s">
        <v>846</v>
      </c>
    </row>
    <row r="413" spans="1:13" ht="180">
      <c r="A413" s="46">
        <v>410</v>
      </c>
      <c r="B413" s="47" t="s">
        <v>575</v>
      </c>
      <c r="C413" s="47" t="s">
        <v>209</v>
      </c>
      <c r="D413" s="48">
        <f>886.6</f>
        <v>886.6</v>
      </c>
      <c r="E413" s="48">
        <f>886.6</f>
        <v>886.6</v>
      </c>
      <c r="F413" s="48">
        <f t="shared" si="6"/>
        <v>0</v>
      </c>
      <c r="G413" s="85" t="s">
        <v>847</v>
      </c>
      <c r="H413" s="50" t="s">
        <v>147</v>
      </c>
      <c r="I413" s="47" t="s">
        <v>31</v>
      </c>
      <c r="J413" s="51">
        <v>55300000</v>
      </c>
      <c r="K413" s="47" t="str">
        <f>'[1]გეგმა 2024'!C62</f>
        <v xml:space="preserve">რესტორნებისა და კვების საწარმოების მომსახურეობები </v>
      </c>
      <c r="L413" s="47" t="s">
        <v>845</v>
      </c>
      <c r="M413" s="60" t="s">
        <v>848</v>
      </c>
    </row>
    <row r="414" spans="1:13" ht="180">
      <c r="A414" s="46">
        <v>411</v>
      </c>
      <c r="B414" s="47" t="s">
        <v>475</v>
      </c>
      <c r="C414" s="47" t="s">
        <v>209</v>
      </c>
      <c r="D414" s="48">
        <f>894.5</f>
        <v>894.5</v>
      </c>
      <c r="E414" s="48">
        <f>894.5</f>
        <v>894.5</v>
      </c>
      <c r="F414" s="48">
        <f t="shared" si="6"/>
        <v>0</v>
      </c>
      <c r="G414" s="85" t="s">
        <v>847</v>
      </c>
      <c r="H414" s="50" t="s">
        <v>147</v>
      </c>
      <c r="I414" s="47" t="s">
        <v>31</v>
      </c>
      <c r="J414" s="51">
        <v>55300000</v>
      </c>
      <c r="K414" s="47" t="str">
        <f>'[1]გეგმა 2024'!C62</f>
        <v xml:space="preserve">რესტორნებისა და კვების საწარმოების მომსახურეობები </v>
      </c>
      <c r="L414" s="47" t="s">
        <v>845</v>
      </c>
      <c r="M414" s="53" t="s">
        <v>849</v>
      </c>
    </row>
    <row r="415" spans="1:13" ht="180">
      <c r="A415" s="46">
        <v>412</v>
      </c>
      <c r="B415" s="47" t="s">
        <v>850</v>
      </c>
      <c r="C415" s="47" t="s">
        <v>209</v>
      </c>
      <c r="D415" s="48">
        <f>896</f>
        <v>896</v>
      </c>
      <c r="E415" s="48">
        <f>896</f>
        <v>896</v>
      </c>
      <c r="F415" s="48">
        <f t="shared" si="6"/>
        <v>0</v>
      </c>
      <c r="G415" s="85" t="s">
        <v>847</v>
      </c>
      <c r="H415" s="50" t="s">
        <v>147</v>
      </c>
      <c r="I415" s="47" t="s">
        <v>31</v>
      </c>
      <c r="J415" s="51">
        <v>55300000</v>
      </c>
      <c r="K415" s="47" t="str">
        <f>'[1]გეგმა 2024'!C62</f>
        <v xml:space="preserve">რესტორნებისა და კვების საწარმოების მომსახურეობები </v>
      </c>
      <c r="L415" s="47" t="s">
        <v>845</v>
      </c>
      <c r="M415" s="53" t="s">
        <v>851</v>
      </c>
    </row>
    <row r="416" spans="1:13" ht="191.25">
      <c r="A416" s="46">
        <v>413</v>
      </c>
      <c r="B416" s="47" t="s">
        <v>852</v>
      </c>
      <c r="C416" s="47" t="s">
        <v>853</v>
      </c>
      <c r="D416" s="48">
        <v>680</v>
      </c>
      <c r="E416" s="48">
        <f>680</f>
        <v>680</v>
      </c>
      <c r="F416" s="48">
        <f t="shared" si="6"/>
        <v>0</v>
      </c>
      <c r="G416" s="85" t="s">
        <v>847</v>
      </c>
      <c r="H416" s="50" t="s">
        <v>147</v>
      </c>
      <c r="I416" s="47" t="s">
        <v>31</v>
      </c>
      <c r="J416" s="51">
        <v>39800000</v>
      </c>
      <c r="K416" s="47" t="str">
        <f>'[1]გეგმა 2024'!C40</f>
        <v>საწმენდი და საპრიალებელი პროდუქცია</v>
      </c>
      <c r="L416" s="47" t="s">
        <v>854</v>
      </c>
      <c r="M416" s="72" t="s">
        <v>855</v>
      </c>
    </row>
    <row r="417" spans="1:13" ht="180">
      <c r="A417" s="46">
        <v>414</v>
      </c>
      <c r="B417" s="47" t="s">
        <v>856</v>
      </c>
      <c r="C417" s="47" t="s">
        <v>209</v>
      </c>
      <c r="D417" s="48">
        <f>855.5</f>
        <v>855.5</v>
      </c>
      <c r="E417" s="48">
        <f>855.5</f>
        <v>855.5</v>
      </c>
      <c r="F417" s="48">
        <f t="shared" si="6"/>
        <v>0</v>
      </c>
      <c r="G417" s="85" t="s">
        <v>847</v>
      </c>
      <c r="H417" s="50" t="s">
        <v>147</v>
      </c>
      <c r="I417" s="47" t="s">
        <v>31</v>
      </c>
      <c r="J417" s="51">
        <v>55300000</v>
      </c>
      <c r="K417" s="47" t="str">
        <f>'[1]გეგმა 2024'!C62</f>
        <v xml:space="preserve">რესტორნებისა და კვების საწარმოების მომსახურეობები </v>
      </c>
      <c r="L417" s="47" t="s">
        <v>845</v>
      </c>
      <c r="M417" s="72" t="s">
        <v>857</v>
      </c>
    </row>
    <row r="418" spans="1:13" ht="191.25">
      <c r="A418" s="46">
        <v>415</v>
      </c>
      <c r="B418" s="47" t="s">
        <v>858</v>
      </c>
      <c r="C418" s="47" t="s">
        <v>859</v>
      </c>
      <c r="D418" s="48">
        <v>354</v>
      </c>
      <c r="E418" s="48">
        <f>354</f>
        <v>354</v>
      </c>
      <c r="F418" s="48">
        <f t="shared" si="6"/>
        <v>0</v>
      </c>
      <c r="G418" s="85" t="s">
        <v>847</v>
      </c>
      <c r="H418" s="50" t="s">
        <v>147</v>
      </c>
      <c r="I418" s="47" t="s">
        <v>31</v>
      </c>
      <c r="J418" s="51">
        <v>50800000</v>
      </c>
      <c r="K418" s="47" t="str">
        <f>'[1]გეგმა 2024'!C56</f>
        <v>ავეჯის შეკეთება და ტექნიკური მომსახურება</v>
      </c>
      <c r="L418" s="47" t="s">
        <v>854</v>
      </c>
      <c r="M418" s="74" t="s">
        <v>860</v>
      </c>
    </row>
    <row r="419" spans="1:13" ht="180">
      <c r="A419" s="46">
        <v>416</v>
      </c>
      <c r="B419" s="47" t="s">
        <v>861</v>
      </c>
      <c r="C419" s="47" t="s">
        <v>209</v>
      </c>
      <c r="D419" s="48">
        <v>1200</v>
      </c>
      <c r="E419" s="48">
        <f>1200</f>
        <v>1200</v>
      </c>
      <c r="F419" s="48">
        <f t="shared" si="6"/>
        <v>0</v>
      </c>
      <c r="G419" s="85" t="s">
        <v>862</v>
      </c>
      <c r="H419" s="50" t="s">
        <v>147</v>
      </c>
      <c r="I419" s="47" t="s">
        <v>31</v>
      </c>
      <c r="J419" s="51">
        <v>55300000</v>
      </c>
      <c r="K419" s="47" t="str">
        <f>'[1]გეგმა 2024'!C62</f>
        <v xml:space="preserve">რესტორნებისა და კვების საწარმოების მომსახურეობები </v>
      </c>
      <c r="L419" s="47" t="s">
        <v>845</v>
      </c>
      <c r="M419" s="53" t="s">
        <v>863</v>
      </c>
    </row>
    <row r="420" spans="1:13" ht="79.5" customHeight="1">
      <c r="A420" s="21">
        <v>417</v>
      </c>
      <c r="B420" s="2" t="s">
        <v>457</v>
      </c>
      <c r="C420" s="2" t="s">
        <v>864</v>
      </c>
      <c r="D420" s="22">
        <v>60475</v>
      </c>
      <c r="E420" s="22">
        <f>24447.7+35455.2</f>
        <v>59902.899999999994</v>
      </c>
      <c r="F420" s="22">
        <f t="shared" si="6"/>
        <v>572.10000000000582</v>
      </c>
      <c r="G420" s="92" t="s">
        <v>862</v>
      </c>
      <c r="H420" s="45" t="s">
        <v>147</v>
      </c>
      <c r="I420" s="2" t="s">
        <v>31</v>
      </c>
      <c r="J420" s="23">
        <v>39100000</v>
      </c>
      <c r="K420" s="2" t="str">
        <f>'[1]გეგმა 2024'!C36</f>
        <v>ავეჯი (სტენდები)</v>
      </c>
      <c r="L420" s="24" t="s">
        <v>865</v>
      </c>
      <c r="M420" s="56" t="s">
        <v>866</v>
      </c>
    </row>
    <row r="421" spans="1:13" ht="45.75" customHeight="1">
      <c r="A421" s="21">
        <v>417</v>
      </c>
      <c r="B421" s="2" t="s">
        <v>457</v>
      </c>
      <c r="C421" s="2" t="s">
        <v>864</v>
      </c>
      <c r="D421" s="22">
        <v>64900</v>
      </c>
      <c r="E421" s="22">
        <f>65001.2</f>
        <v>65001.2</v>
      </c>
      <c r="F421" s="22">
        <f t="shared" si="6"/>
        <v>-101.19999999999709</v>
      </c>
      <c r="G421" s="92" t="s">
        <v>862</v>
      </c>
      <c r="H421" s="45" t="s">
        <v>147</v>
      </c>
      <c r="I421" s="2" t="s">
        <v>31</v>
      </c>
      <c r="J421" s="23">
        <v>39100000</v>
      </c>
      <c r="K421" s="2" t="str">
        <f>'[1]გეგმა 2024 (საკ. შ.)'!C7</f>
        <v>სტენდები (საკ.შ.)</v>
      </c>
      <c r="L421" s="24" t="s">
        <v>865</v>
      </c>
      <c r="M421" s="56" t="s">
        <v>866</v>
      </c>
    </row>
    <row r="422" spans="1:13" ht="180">
      <c r="A422" s="46">
        <v>418</v>
      </c>
      <c r="B422" s="47" t="s">
        <v>200</v>
      </c>
      <c r="C422" s="47" t="s">
        <v>165</v>
      </c>
      <c r="D422" s="48">
        <v>2221</v>
      </c>
      <c r="E422" s="48">
        <f>2221</f>
        <v>2221</v>
      </c>
      <c r="F422" s="48">
        <f t="shared" si="6"/>
        <v>0</v>
      </c>
      <c r="G422" s="85" t="s">
        <v>867</v>
      </c>
      <c r="H422" s="50" t="s">
        <v>147</v>
      </c>
      <c r="I422" s="47" t="s">
        <v>31</v>
      </c>
      <c r="J422" s="51">
        <v>60400000</v>
      </c>
      <c r="K422" s="47" t="str">
        <f>'[1]გეგმა 2024'!C65</f>
        <v>საჰაერო ტრანსპორტის მომსახურებები</v>
      </c>
      <c r="L422" s="47" t="s">
        <v>868</v>
      </c>
      <c r="M422" s="53" t="s">
        <v>869</v>
      </c>
    </row>
    <row r="423" spans="1:13" ht="180">
      <c r="A423" s="46">
        <v>419</v>
      </c>
      <c r="B423" s="47" t="s">
        <v>870</v>
      </c>
      <c r="C423" s="47" t="s">
        <v>240</v>
      </c>
      <c r="D423" s="48">
        <v>1050</v>
      </c>
      <c r="E423" s="48">
        <f>1050</f>
        <v>1050</v>
      </c>
      <c r="F423" s="48">
        <f t="shared" si="6"/>
        <v>0</v>
      </c>
      <c r="G423" s="85" t="s">
        <v>867</v>
      </c>
      <c r="H423" s="50" t="s">
        <v>147</v>
      </c>
      <c r="I423" s="47" t="s">
        <v>31</v>
      </c>
      <c r="J423" s="51">
        <v>63500000</v>
      </c>
      <c r="K423" s="47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423" s="47" t="s">
        <v>868</v>
      </c>
      <c r="M423" s="53" t="s">
        <v>871</v>
      </c>
    </row>
    <row r="424" spans="1:13" ht="180">
      <c r="A424" s="46">
        <v>420</v>
      </c>
      <c r="B424" s="47" t="s">
        <v>872</v>
      </c>
      <c r="C424" s="47" t="s">
        <v>188</v>
      </c>
      <c r="D424" s="48">
        <v>5440</v>
      </c>
      <c r="E424" s="48">
        <f>5440</f>
        <v>5440</v>
      </c>
      <c r="F424" s="48">
        <f t="shared" si="6"/>
        <v>0</v>
      </c>
      <c r="G424" s="85" t="s">
        <v>867</v>
      </c>
      <c r="H424" s="50" t="s">
        <v>147</v>
      </c>
      <c r="I424" s="47" t="s">
        <v>31</v>
      </c>
      <c r="J424" s="51">
        <v>60100000</v>
      </c>
      <c r="K424" s="47" t="str">
        <f>'[1]გეგმა 2024'!C64</f>
        <v xml:space="preserve"> საავტომობილო ტრანსპორტის მომსახურებები</v>
      </c>
      <c r="L424" s="47" t="s">
        <v>868</v>
      </c>
      <c r="M424" s="53" t="s">
        <v>873</v>
      </c>
    </row>
    <row r="425" spans="1:13" ht="180">
      <c r="A425" s="46">
        <v>421</v>
      </c>
      <c r="B425" s="47" t="s">
        <v>874</v>
      </c>
      <c r="C425" s="47" t="s">
        <v>207</v>
      </c>
      <c r="D425" s="48">
        <v>1000</v>
      </c>
      <c r="E425" s="48">
        <f>1000</f>
        <v>1000</v>
      </c>
      <c r="F425" s="48">
        <f t="shared" si="6"/>
        <v>0</v>
      </c>
      <c r="G425" s="85" t="s">
        <v>867</v>
      </c>
      <c r="H425" s="50" t="s">
        <v>147</v>
      </c>
      <c r="I425" s="47" t="s">
        <v>31</v>
      </c>
      <c r="J425" s="51">
        <v>55100000</v>
      </c>
      <c r="K425" s="47" t="str">
        <f>'[1]გეგმა 2024'!C59</f>
        <v>სასტუმროს მომსახურება</v>
      </c>
      <c r="L425" s="47" t="s">
        <v>868</v>
      </c>
      <c r="M425" s="72" t="s">
        <v>875</v>
      </c>
    </row>
    <row r="426" spans="1:13" ht="180">
      <c r="A426" s="46">
        <v>422</v>
      </c>
      <c r="B426" s="47" t="s">
        <v>876</v>
      </c>
      <c r="C426" s="47" t="s">
        <v>207</v>
      </c>
      <c r="D426" s="48">
        <v>1100</v>
      </c>
      <c r="E426" s="48">
        <f>1100</f>
        <v>1100</v>
      </c>
      <c r="F426" s="48">
        <f t="shared" si="6"/>
        <v>0</v>
      </c>
      <c r="G426" s="85" t="s">
        <v>867</v>
      </c>
      <c r="H426" s="50" t="s">
        <v>147</v>
      </c>
      <c r="I426" s="47" t="s">
        <v>31</v>
      </c>
      <c r="J426" s="51">
        <v>55100000</v>
      </c>
      <c r="K426" s="47" t="str">
        <f>'[1]გეგმა 2024'!C59</f>
        <v>სასტუმროს მომსახურება</v>
      </c>
      <c r="L426" s="47" t="s">
        <v>868</v>
      </c>
      <c r="M426" s="104" t="s">
        <v>877</v>
      </c>
    </row>
    <row r="427" spans="1:13" ht="180">
      <c r="A427" s="46">
        <v>423</v>
      </c>
      <c r="B427" s="47" t="s">
        <v>876</v>
      </c>
      <c r="C427" s="47" t="s">
        <v>209</v>
      </c>
      <c r="D427" s="48">
        <v>3300</v>
      </c>
      <c r="E427" s="48">
        <f>3300</f>
        <v>3300</v>
      </c>
      <c r="F427" s="48">
        <f t="shared" si="6"/>
        <v>0</v>
      </c>
      <c r="G427" s="85" t="s">
        <v>867</v>
      </c>
      <c r="H427" s="50" t="s">
        <v>147</v>
      </c>
      <c r="I427" s="47" t="s">
        <v>31</v>
      </c>
      <c r="J427" s="51">
        <v>55300000</v>
      </c>
      <c r="K427" s="47" t="str">
        <f>'[1]გეგმა 2024'!C62</f>
        <v xml:space="preserve">რესტორნებისა და კვების საწარმოების მომსახურეობები </v>
      </c>
      <c r="L427" s="47" t="s">
        <v>868</v>
      </c>
      <c r="M427" s="53" t="s">
        <v>878</v>
      </c>
    </row>
    <row r="428" spans="1:13" ht="180">
      <c r="A428" s="46">
        <v>424</v>
      </c>
      <c r="B428" s="47" t="s">
        <v>879</v>
      </c>
      <c r="C428" s="47" t="s">
        <v>207</v>
      </c>
      <c r="D428" s="48">
        <v>864</v>
      </c>
      <c r="E428" s="48">
        <f>864</f>
        <v>864</v>
      </c>
      <c r="F428" s="48">
        <f t="shared" si="6"/>
        <v>0</v>
      </c>
      <c r="G428" s="85" t="s">
        <v>867</v>
      </c>
      <c r="H428" s="50" t="s">
        <v>147</v>
      </c>
      <c r="I428" s="47" t="s">
        <v>31</v>
      </c>
      <c r="J428" s="51">
        <v>55100000</v>
      </c>
      <c r="K428" s="47" t="str">
        <f>'[1]გეგმა 2024'!C59</f>
        <v>სასტუმროს მომსახურება</v>
      </c>
      <c r="L428" s="47" t="s">
        <v>868</v>
      </c>
      <c r="M428" s="72" t="s">
        <v>880</v>
      </c>
    </row>
    <row r="429" spans="1:13" ht="180">
      <c r="A429" s="46">
        <v>425</v>
      </c>
      <c r="B429" s="47" t="s">
        <v>881</v>
      </c>
      <c r="C429" s="47" t="s">
        <v>188</v>
      </c>
      <c r="D429" s="48">
        <v>2145</v>
      </c>
      <c r="E429" s="48">
        <f>2145</f>
        <v>2145</v>
      </c>
      <c r="F429" s="48">
        <f t="shared" si="6"/>
        <v>0</v>
      </c>
      <c r="G429" s="85" t="s">
        <v>867</v>
      </c>
      <c r="H429" s="50" t="s">
        <v>147</v>
      </c>
      <c r="I429" s="47" t="s">
        <v>31</v>
      </c>
      <c r="J429" s="51">
        <v>60100000</v>
      </c>
      <c r="K429" s="47" t="str">
        <f>'[1]გეგმა 2024'!C64</f>
        <v xml:space="preserve"> საავტომობილო ტრანსპორტის მომსახურებები</v>
      </c>
      <c r="L429" s="47" t="s">
        <v>868</v>
      </c>
      <c r="M429" s="53" t="s">
        <v>882</v>
      </c>
    </row>
    <row r="430" spans="1:13" ht="39" customHeight="1">
      <c r="A430" s="21">
        <v>426</v>
      </c>
      <c r="B430" s="105" t="s">
        <v>883</v>
      </c>
      <c r="C430" s="2" t="s">
        <v>884</v>
      </c>
      <c r="D430" s="22">
        <v>7350</v>
      </c>
      <c r="E430" s="22"/>
      <c r="F430" s="22">
        <f t="shared" si="6"/>
        <v>7350</v>
      </c>
      <c r="G430" s="92" t="s">
        <v>885</v>
      </c>
      <c r="H430" s="45" t="s">
        <v>147</v>
      </c>
      <c r="I430" s="2" t="s">
        <v>31</v>
      </c>
      <c r="J430" s="23">
        <v>79400000</v>
      </c>
      <c r="K430" s="2" t="str">
        <f>'[1]გეგმა 2024'!C91</f>
        <v>ბიზნესსა და მენეჯმენტთან დაკავშირებული კონსულტაციები და მომსახურებები.</v>
      </c>
      <c r="L430" s="24" t="s">
        <v>865</v>
      </c>
      <c r="M430" s="24" t="s">
        <v>886</v>
      </c>
    </row>
    <row r="431" spans="1:13" ht="59.25" customHeight="1">
      <c r="A431" s="46">
        <v>427</v>
      </c>
      <c r="B431" s="47" t="s">
        <v>887</v>
      </c>
      <c r="C431" s="47" t="s">
        <v>240</v>
      </c>
      <c r="D431" s="48">
        <v>1800</v>
      </c>
      <c r="E431" s="48">
        <f>1800</f>
        <v>1800</v>
      </c>
      <c r="F431" s="48">
        <f t="shared" si="6"/>
        <v>0</v>
      </c>
      <c r="G431" s="85" t="s">
        <v>888</v>
      </c>
      <c r="H431" s="50" t="s">
        <v>147</v>
      </c>
      <c r="I431" s="47" t="s">
        <v>31</v>
      </c>
      <c r="J431" s="51">
        <v>63500000</v>
      </c>
      <c r="K431" s="47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431" s="47" t="s">
        <v>868</v>
      </c>
      <c r="M431" s="72" t="s">
        <v>889</v>
      </c>
    </row>
    <row r="432" spans="1:13" ht="48.75" customHeight="1">
      <c r="A432" s="46">
        <v>428</v>
      </c>
      <c r="B432" s="47" t="s">
        <v>890</v>
      </c>
      <c r="C432" s="47" t="s">
        <v>188</v>
      </c>
      <c r="D432" s="48">
        <v>1550</v>
      </c>
      <c r="E432" s="48">
        <f>1550</f>
        <v>1550</v>
      </c>
      <c r="F432" s="48">
        <f t="shared" si="6"/>
        <v>0</v>
      </c>
      <c r="G432" s="85" t="s">
        <v>888</v>
      </c>
      <c r="H432" s="50" t="s">
        <v>147</v>
      </c>
      <c r="I432" s="47" t="s">
        <v>31</v>
      </c>
      <c r="J432" s="51">
        <v>60100000</v>
      </c>
      <c r="K432" s="47" t="str">
        <f>'[1]გეგმა 2024'!C64</f>
        <v xml:space="preserve"> საავტომობილო ტრანსპორტის მომსახურებები</v>
      </c>
      <c r="L432" s="47" t="s">
        <v>868</v>
      </c>
      <c r="M432" s="72" t="s">
        <v>891</v>
      </c>
    </row>
    <row r="433" spans="1:13" ht="43.5" customHeight="1">
      <c r="A433" s="46">
        <v>429</v>
      </c>
      <c r="B433" s="47" t="s">
        <v>892</v>
      </c>
      <c r="C433" s="47" t="s">
        <v>864</v>
      </c>
      <c r="D433" s="48">
        <v>26300</v>
      </c>
      <c r="E433" s="48">
        <f>26300</f>
        <v>26300</v>
      </c>
      <c r="F433" s="48">
        <f t="shared" si="6"/>
        <v>0</v>
      </c>
      <c r="G433" s="85" t="s">
        <v>888</v>
      </c>
      <c r="H433" s="50" t="s">
        <v>147</v>
      </c>
      <c r="I433" s="47" t="s">
        <v>31</v>
      </c>
      <c r="J433" s="51">
        <v>39100000</v>
      </c>
      <c r="K433" s="47" t="str">
        <f>'[1]გეგმა 2024'!C36</f>
        <v>ავეჯი (სტენდები)</v>
      </c>
      <c r="L433" s="47" t="s">
        <v>108</v>
      </c>
      <c r="M433" s="104" t="s">
        <v>893</v>
      </c>
    </row>
    <row r="434" spans="1:13" ht="45.75" customHeight="1">
      <c r="A434" s="46">
        <v>430</v>
      </c>
      <c r="B434" s="47" t="s">
        <v>856</v>
      </c>
      <c r="C434" s="47" t="s">
        <v>207</v>
      </c>
      <c r="D434" s="48">
        <v>14750</v>
      </c>
      <c r="E434" s="48">
        <f>14750</f>
        <v>14750</v>
      </c>
      <c r="F434" s="48">
        <f t="shared" si="6"/>
        <v>0</v>
      </c>
      <c r="G434" s="85" t="s">
        <v>894</v>
      </c>
      <c r="H434" s="50" t="s">
        <v>147</v>
      </c>
      <c r="I434" s="47" t="s">
        <v>31</v>
      </c>
      <c r="J434" s="51">
        <v>55100000</v>
      </c>
      <c r="K434" s="47" t="str">
        <f>'[1]გეგმა 2024'!C59</f>
        <v>სასტუმროს მომსახურება</v>
      </c>
      <c r="L434" s="47" t="s">
        <v>868</v>
      </c>
      <c r="M434" s="53" t="s">
        <v>895</v>
      </c>
    </row>
    <row r="435" spans="1:13" ht="48.75" customHeight="1">
      <c r="A435" s="46">
        <v>431</v>
      </c>
      <c r="B435" s="47" t="s">
        <v>896</v>
      </c>
      <c r="C435" s="47" t="s">
        <v>897</v>
      </c>
      <c r="D435" s="48">
        <f>101544.56+11480.41</f>
        <v>113024.97</v>
      </c>
      <c r="E435" s="48">
        <f>101544.56+11480.41</f>
        <v>113024.97</v>
      </c>
      <c r="F435" s="48">
        <f t="shared" si="6"/>
        <v>0</v>
      </c>
      <c r="G435" s="85" t="s">
        <v>898</v>
      </c>
      <c r="H435" s="50" t="s">
        <v>147</v>
      </c>
      <c r="I435" s="47" t="s">
        <v>31</v>
      </c>
      <c r="J435" s="51">
        <v>39100000</v>
      </c>
      <c r="K435" s="47" t="str">
        <f>'[1]გეგმა 2024'!C36</f>
        <v>ავეჯი (სტენდები)</v>
      </c>
      <c r="L435" s="47" t="s">
        <v>108</v>
      </c>
      <c r="M435" s="72" t="s">
        <v>899</v>
      </c>
    </row>
    <row r="436" spans="1:13" ht="40.5" customHeight="1">
      <c r="A436" s="46">
        <v>431</v>
      </c>
      <c r="B436" s="47" t="s">
        <v>896</v>
      </c>
      <c r="C436" s="47" t="s">
        <v>897</v>
      </c>
      <c r="D436" s="48">
        <f>29760.75+58802.1</f>
        <v>88562.85</v>
      </c>
      <c r="E436" s="48">
        <f>29760.75+58802.1</f>
        <v>88562.85</v>
      </c>
      <c r="F436" s="48">
        <f t="shared" si="6"/>
        <v>0</v>
      </c>
      <c r="G436" s="85" t="s">
        <v>898</v>
      </c>
      <c r="H436" s="50" t="s">
        <v>147</v>
      </c>
      <c r="I436" s="47" t="s">
        <v>31</v>
      </c>
      <c r="J436" s="51">
        <v>39100000</v>
      </c>
      <c r="K436" s="47" t="str">
        <f>'[1]გეგმა 2024 (საკ. შ.)'!C7</f>
        <v>სტენდები (საკ.შ.)</v>
      </c>
      <c r="L436" s="47" t="s">
        <v>108</v>
      </c>
      <c r="M436" s="72" t="s">
        <v>899</v>
      </c>
    </row>
    <row r="437" spans="1:13" ht="39" customHeight="1">
      <c r="A437" s="21">
        <v>432</v>
      </c>
      <c r="B437" s="2" t="s">
        <v>667</v>
      </c>
      <c r="C437" s="2" t="s">
        <v>900</v>
      </c>
      <c r="D437" s="22">
        <v>463121</v>
      </c>
      <c r="E437" s="22">
        <f>133525</f>
        <v>133525</v>
      </c>
      <c r="F437" s="22">
        <f t="shared" ref="F437:F496" si="7">D437-E437</f>
        <v>329596</v>
      </c>
      <c r="G437" s="92" t="s">
        <v>898</v>
      </c>
      <c r="H437" s="45" t="s">
        <v>147</v>
      </c>
      <c r="I437" s="2" t="s">
        <v>31</v>
      </c>
      <c r="J437" s="93">
        <v>79300000</v>
      </c>
      <c r="K437" s="2" t="str">
        <f>'[1]გეგმა 2024'!C87</f>
        <v>ბაზრის კვლევა და ეკონომიკური კვლევა გამოკითხვები და სტატისტიკა.</v>
      </c>
      <c r="L437" s="2" t="s">
        <v>108</v>
      </c>
      <c r="M437" s="24" t="s">
        <v>901</v>
      </c>
    </row>
    <row r="438" spans="1:13" ht="55.5" customHeight="1">
      <c r="A438" s="46">
        <v>433</v>
      </c>
      <c r="B438" s="47" t="s">
        <v>623</v>
      </c>
      <c r="C438" s="47" t="s">
        <v>207</v>
      </c>
      <c r="D438" s="48">
        <v>400</v>
      </c>
      <c r="E438" s="48">
        <f>400</f>
        <v>400</v>
      </c>
      <c r="F438" s="48">
        <f t="shared" si="7"/>
        <v>0</v>
      </c>
      <c r="G438" s="85" t="s">
        <v>902</v>
      </c>
      <c r="H438" s="50" t="s">
        <v>147</v>
      </c>
      <c r="I438" s="47" t="s">
        <v>31</v>
      </c>
      <c r="J438" s="51">
        <v>55100000</v>
      </c>
      <c r="K438" s="47" t="str">
        <f>'[1]გეგმა 2024'!C59</f>
        <v>სასტუმროს მომსახურება</v>
      </c>
      <c r="L438" s="47" t="s">
        <v>868</v>
      </c>
      <c r="M438" s="53" t="s">
        <v>903</v>
      </c>
    </row>
    <row r="439" spans="1:13" ht="43.5" customHeight="1">
      <c r="A439" s="46">
        <v>434</v>
      </c>
      <c r="B439" s="47" t="s">
        <v>904</v>
      </c>
      <c r="C439" s="47" t="s">
        <v>240</v>
      </c>
      <c r="D439" s="48">
        <v>3500</v>
      </c>
      <c r="E439" s="48">
        <f>3500</f>
        <v>3500</v>
      </c>
      <c r="F439" s="48">
        <f t="shared" si="7"/>
        <v>0</v>
      </c>
      <c r="G439" s="85" t="s">
        <v>902</v>
      </c>
      <c r="H439" s="50" t="s">
        <v>147</v>
      </c>
      <c r="I439" s="47" t="s">
        <v>31</v>
      </c>
      <c r="J439" s="51">
        <v>63500000</v>
      </c>
      <c r="K439" s="47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439" s="47" t="s">
        <v>868</v>
      </c>
      <c r="M439" s="53" t="s">
        <v>905</v>
      </c>
    </row>
    <row r="440" spans="1:13" ht="32.25" customHeight="1">
      <c r="A440" s="46">
        <v>435</v>
      </c>
      <c r="B440" s="47" t="s">
        <v>904</v>
      </c>
      <c r="C440" s="47" t="s">
        <v>188</v>
      </c>
      <c r="D440" s="48">
        <v>4700</v>
      </c>
      <c r="E440" s="48">
        <f>4700</f>
        <v>4700</v>
      </c>
      <c r="F440" s="48">
        <f t="shared" si="7"/>
        <v>0</v>
      </c>
      <c r="G440" s="85" t="s">
        <v>902</v>
      </c>
      <c r="H440" s="50" t="s">
        <v>147</v>
      </c>
      <c r="I440" s="47" t="s">
        <v>31</v>
      </c>
      <c r="J440" s="100">
        <v>60100000</v>
      </c>
      <c r="K440" s="47" t="str">
        <f>'[1]გეგმა 2024'!C64</f>
        <v xml:space="preserve"> საავტომობილო ტრანსპორტის მომსახურებები</v>
      </c>
      <c r="L440" s="47" t="s">
        <v>868</v>
      </c>
      <c r="M440" s="53" t="s">
        <v>906</v>
      </c>
    </row>
    <row r="441" spans="1:13" ht="53.25" customHeight="1">
      <c r="A441" s="46">
        <v>436</v>
      </c>
      <c r="B441" s="47" t="s">
        <v>907</v>
      </c>
      <c r="C441" s="47" t="s">
        <v>209</v>
      </c>
      <c r="D441" s="48">
        <f>476.84</f>
        <v>476.84</v>
      </c>
      <c r="E441" s="48">
        <f>476.84</f>
        <v>476.84</v>
      </c>
      <c r="F441" s="48">
        <f t="shared" si="7"/>
        <v>0</v>
      </c>
      <c r="G441" s="85" t="s">
        <v>908</v>
      </c>
      <c r="H441" s="50" t="s">
        <v>147</v>
      </c>
      <c r="I441" s="47" t="s">
        <v>31</v>
      </c>
      <c r="J441" s="51">
        <v>55300000</v>
      </c>
      <c r="K441" s="47" t="str">
        <f>'[1]გეგმა 2024'!C62</f>
        <v xml:space="preserve">რესტორნებისა და კვების საწარმოების მომსახურეობები </v>
      </c>
      <c r="L441" s="47" t="s">
        <v>868</v>
      </c>
      <c r="M441" s="53" t="s">
        <v>909</v>
      </c>
    </row>
    <row r="442" spans="1:13" ht="32.25" customHeight="1">
      <c r="A442" s="46">
        <v>437</v>
      </c>
      <c r="B442" s="47" t="s">
        <v>295</v>
      </c>
      <c r="C442" s="47" t="s">
        <v>209</v>
      </c>
      <c r="D442" s="48">
        <f>577.3</f>
        <v>577.29999999999995</v>
      </c>
      <c r="E442" s="48">
        <f>577.3</f>
        <v>577.29999999999995</v>
      </c>
      <c r="F442" s="48">
        <f t="shared" si="7"/>
        <v>0</v>
      </c>
      <c r="G442" s="85" t="s">
        <v>908</v>
      </c>
      <c r="H442" s="50" t="s">
        <v>147</v>
      </c>
      <c r="I442" s="47" t="s">
        <v>31</v>
      </c>
      <c r="J442" s="51">
        <v>55300000</v>
      </c>
      <c r="K442" s="47" t="str">
        <f>'[1]გეგმა 2024'!C62</f>
        <v xml:space="preserve">რესტორნებისა და კვების საწარმოების მომსახურეობები </v>
      </c>
      <c r="L442" s="47" t="s">
        <v>868</v>
      </c>
      <c r="M442" s="72" t="s">
        <v>910</v>
      </c>
    </row>
    <row r="443" spans="1:13" ht="54.75" customHeight="1">
      <c r="A443" s="46">
        <v>438</v>
      </c>
      <c r="B443" s="47" t="s">
        <v>911</v>
      </c>
      <c r="C443" s="47" t="s">
        <v>912</v>
      </c>
      <c r="D443" s="48">
        <v>155</v>
      </c>
      <c r="E443" s="48">
        <f>155</f>
        <v>155</v>
      </c>
      <c r="F443" s="48">
        <f t="shared" si="7"/>
        <v>0</v>
      </c>
      <c r="G443" s="85" t="s">
        <v>908</v>
      </c>
      <c r="H443" s="50" t="s">
        <v>147</v>
      </c>
      <c r="I443" s="47" t="s">
        <v>31</v>
      </c>
      <c r="J443" s="100">
        <v>92500000</v>
      </c>
      <c r="K443" s="47" t="str">
        <f>'[1]გეგმა 2024'!C114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443" s="47" t="s">
        <v>868</v>
      </c>
      <c r="M443" s="53" t="s">
        <v>913</v>
      </c>
    </row>
    <row r="444" spans="1:13" ht="65.25" customHeight="1">
      <c r="A444" s="21">
        <v>439</v>
      </c>
      <c r="B444" s="2" t="s">
        <v>914</v>
      </c>
      <c r="C444" s="2" t="s">
        <v>209</v>
      </c>
      <c r="D444" s="22">
        <v>1080</v>
      </c>
      <c r="E444" s="22">
        <f>763</f>
        <v>763</v>
      </c>
      <c r="F444" s="22">
        <f t="shared" si="7"/>
        <v>317</v>
      </c>
      <c r="G444" s="92" t="s">
        <v>908</v>
      </c>
      <c r="H444" s="45" t="s">
        <v>147</v>
      </c>
      <c r="I444" s="2" t="s">
        <v>31</v>
      </c>
      <c r="J444" s="23">
        <v>55300000</v>
      </c>
      <c r="K444" s="2" t="str">
        <f>'[1]გეგმა 2024'!C62</f>
        <v xml:space="preserve">რესტორნებისა და კვების საწარმოების მომსახურეობები </v>
      </c>
      <c r="L444" s="2" t="s">
        <v>868</v>
      </c>
      <c r="M444" s="106" t="s">
        <v>915</v>
      </c>
    </row>
    <row r="445" spans="1:13" ht="44.25" customHeight="1">
      <c r="A445" s="46">
        <v>440</v>
      </c>
      <c r="B445" s="47" t="s">
        <v>812</v>
      </c>
      <c r="C445" s="47" t="s">
        <v>209</v>
      </c>
      <c r="D445" s="48">
        <f>572.3</f>
        <v>572.29999999999995</v>
      </c>
      <c r="E445" s="48">
        <f>572.3</f>
        <v>572.29999999999995</v>
      </c>
      <c r="F445" s="48">
        <f t="shared" si="7"/>
        <v>0</v>
      </c>
      <c r="G445" s="85" t="s">
        <v>908</v>
      </c>
      <c r="H445" s="50" t="s">
        <v>147</v>
      </c>
      <c r="I445" s="47" t="s">
        <v>31</v>
      </c>
      <c r="J445" s="51">
        <v>55300000</v>
      </c>
      <c r="K445" s="47" t="str">
        <f>'[1]გეგმა 2024'!C62</f>
        <v xml:space="preserve">რესტორნებისა და კვების საწარმოების მომსახურეობები </v>
      </c>
      <c r="L445" s="47" t="s">
        <v>868</v>
      </c>
      <c r="M445" s="53" t="s">
        <v>916</v>
      </c>
    </row>
    <row r="446" spans="1:13" ht="39" customHeight="1">
      <c r="A446" s="46">
        <v>441</v>
      </c>
      <c r="B446" s="47" t="s">
        <v>917</v>
      </c>
      <c r="C446" s="47" t="s">
        <v>209</v>
      </c>
      <c r="D446" s="48">
        <v>600</v>
      </c>
      <c r="E446" s="48">
        <f>600</f>
        <v>600</v>
      </c>
      <c r="F446" s="48">
        <f t="shared" si="7"/>
        <v>0</v>
      </c>
      <c r="G446" s="85" t="s">
        <v>908</v>
      </c>
      <c r="H446" s="50" t="s">
        <v>147</v>
      </c>
      <c r="I446" s="47" t="s">
        <v>31</v>
      </c>
      <c r="J446" s="51">
        <v>55300000</v>
      </c>
      <c r="K446" s="47" t="str">
        <f>'[1]გეგმა 2024'!C62</f>
        <v xml:space="preserve">რესტორნებისა და კვების საწარმოების მომსახურეობები </v>
      </c>
      <c r="L446" s="47" t="s">
        <v>868</v>
      </c>
      <c r="M446" s="53" t="s">
        <v>918</v>
      </c>
    </row>
    <row r="447" spans="1:13" ht="36.75" customHeight="1">
      <c r="A447" s="46">
        <v>442</v>
      </c>
      <c r="B447" s="47" t="s">
        <v>363</v>
      </c>
      <c r="C447" s="47" t="s">
        <v>209</v>
      </c>
      <c r="D447" s="48">
        <f>443.68</f>
        <v>443.68</v>
      </c>
      <c r="E447" s="48">
        <f>443.68</f>
        <v>443.68</v>
      </c>
      <c r="F447" s="48">
        <f t="shared" si="7"/>
        <v>0</v>
      </c>
      <c r="G447" s="85" t="s">
        <v>908</v>
      </c>
      <c r="H447" s="50" t="s">
        <v>147</v>
      </c>
      <c r="I447" s="47" t="s">
        <v>31</v>
      </c>
      <c r="J447" s="51">
        <v>55300000</v>
      </c>
      <c r="K447" s="47" t="str">
        <f>'[1]გეგმა 2024'!C62</f>
        <v xml:space="preserve">რესტორნებისა და კვების საწარმოების მომსახურეობები </v>
      </c>
      <c r="L447" s="47" t="s">
        <v>868</v>
      </c>
      <c r="M447" s="72" t="s">
        <v>919</v>
      </c>
    </row>
    <row r="448" spans="1:13" ht="180">
      <c r="A448" s="46">
        <v>443</v>
      </c>
      <c r="B448" s="47" t="s">
        <v>920</v>
      </c>
      <c r="C448" s="47" t="s">
        <v>240</v>
      </c>
      <c r="D448" s="48">
        <v>1200</v>
      </c>
      <c r="E448" s="48">
        <f>24+235.2+940.8</f>
        <v>1200</v>
      </c>
      <c r="F448" s="48">
        <f t="shared" si="7"/>
        <v>0</v>
      </c>
      <c r="G448" s="85" t="s">
        <v>921</v>
      </c>
      <c r="H448" s="50" t="s">
        <v>147</v>
      </c>
      <c r="I448" s="47" t="s">
        <v>31</v>
      </c>
      <c r="J448" s="100">
        <v>63500000</v>
      </c>
      <c r="K448" s="47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448" s="47" t="s">
        <v>868</v>
      </c>
      <c r="M448" s="53" t="s">
        <v>922</v>
      </c>
    </row>
    <row r="449" spans="1:13" ht="180">
      <c r="A449" s="46">
        <v>444</v>
      </c>
      <c r="B449" s="47" t="s">
        <v>904</v>
      </c>
      <c r="C449" s="47" t="s">
        <v>188</v>
      </c>
      <c r="D449" s="48">
        <v>1500</v>
      </c>
      <c r="E449" s="48">
        <f>1500</f>
        <v>1500</v>
      </c>
      <c r="F449" s="48">
        <f t="shared" si="7"/>
        <v>0</v>
      </c>
      <c r="G449" s="85" t="s">
        <v>921</v>
      </c>
      <c r="H449" s="50" t="s">
        <v>147</v>
      </c>
      <c r="I449" s="47" t="s">
        <v>31</v>
      </c>
      <c r="J449" s="100">
        <v>60100000</v>
      </c>
      <c r="K449" s="47" t="str">
        <f>'[1]გეგმა 2024'!C64</f>
        <v xml:space="preserve"> საავტომობილო ტრანსპორტის მომსახურებები</v>
      </c>
      <c r="L449" s="47" t="s">
        <v>868</v>
      </c>
      <c r="M449" s="53" t="s">
        <v>923</v>
      </c>
    </row>
    <row r="450" spans="1:13" ht="180">
      <c r="A450" s="46">
        <v>445</v>
      </c>
      <c r="B450" s="47" t="s">
        <v>300</v>
      </c>
      <c r="C450" s="47" t="s">
        <v>209</v>
      </c>
      <c r="D450" s="48">
        <f>118</f>
        <v>118</v>
      </c>
      <c r="E450" s="48">
        <f>118</f>
        <v>118</v>
      </c>
      <c r="F450" s="48">
        <f t="shared" si="7"/>
        <v>0</v>
      </c>
      <c r="G450" s="85" t="s">
        <v>921</v>
      </c>
      <c r="H450" s="50" t="s">
        <v>147</v>
      </c>
      <c r="I450" s="47" t="s">
        <v>31</v>
      </c>
      <c r="J450" s="51">
        <v>55300000</v>
      </c>
      <c r="K450" s="47" t="str">
        <f>'[1]გეგმა 2024'!C62</f>
        <v xml:space="preserve">რესტორნებისა და კვების საწარმოების მომსახურეობები </v>
      </c>
      <c r="L450" s="47" t="s">
        <v>868</v>
      </c>
      <c r="M450" s="72" t="s">
        <v>924</v>
      </c>
    </row>
    <row r="451" spans="1:13" ht="180">
      <c r="A451" s="46">
        <v>446</v>
      </c>
      <c r="B451" s="47" t="s">
        <v>679</v>
      </c>
      <c r="C451" s="47" t="s">
        <v>209</v>
      </c>
      <c r="D451" s="48">
        <f>118.5</f>
        <v>118.5</v>
      </c>
      <c r="E451" s="48">
        <f>118.5</f>
        <v>118.5</v>
      </c>
      <c r="F451" s="48">
        <f t="shared" si="7"/>
        <v>0</v>
      </c>
      <c r="G451" s="85" t="s">
        <v>921</v>
      </c>
      <c r="H451" s="50" t="s">
        <v>147</v>
      </c>
      <c r="I451" s="47" t="s">
        <v>31</v>
      </c>
      <c r="J451" s="51">
        <v>55300000</v>
      </c>
      <c r="K451" s="47" t="str">
        <f>'[1]გეგმა 2024'!C62</f>
        <v xml:space="preserve">რესტორნებისა და კვების საწარმოების მომსახურეობები </v>
      </c>
      <c r="L451" s="47" t="s">
        <v>868</v>
      </c>
      <c r="M451" s="53" t="s">
        <v>925</v>
      </c>
    </row>
    <row r="452" spans="1:13" ht="180">
      <c r="A452" s="21">
        <v>447</v>
      </c>
      <c r="B452" s="2" t="s">
        <v>271</v>
      </c>
      <c r="C452" s="2" t="s">
        <v>209</v>
      </c>
      <c r="D452" s="22">
        <v>120</v>
      </c>
      <c r="E452" s="22"/>
      <c r="F452" s="22">
        <f t="shared" si="7"/>
        <v>120</v>
      </c>
      <c r="G452" s="92" t="s">
        <v>926</v>
      </c>
      <c r="H452" s="45" t="s">
        <v>147</v>
      </c>
      <c r="I452" s="2" t="s">
        <v>31</v>
      </c>
      <c r="J452" s="23">
        <v>55300000</v>
      </c>
      <c r="K452" s="2" t="str">
        <f>'[1]გეგმა 2024'!C62</f>
        <v xml:space="preserve">რესტორნებისა და კვების საწარმოების მომსახურეობები </v>
      </c>
      <c r="L452" s="2" t="s">
        <v>868</v>
      </c>
      <c r="M452" s="24"/>
    </row>
    <row r="453" spans="1:13" ht="180">
      <c r="A453" s="46">
        <v>448</v>
      </c>
      <c r="B453" s="47" t="s">
        <v>914</v>
      </c>
      <c r="C453" s="47" t="s">
        <v>209</v>
      </c>
      <c r="D453" s="48">
        <f>207</f>
        <v>207</v>
      </c>
      <c r="E453" s="48">
        <f>207</f>
        <v>207</v>
      </c>
      <c r="F453" s="48">
        <f t="shared" si="7"/>
        <v>0</v>
      </c>
      <c r="G453" s="85" t="s">
        <v>926</v>
      </c>
      <c r="H453" s="50" t="s">
        <v>147</v>
      </c>
      <c r="I453" s="47" t="s">
        <v>31</v>
      </c>
      <c r="J453" s="51">
        <v>55300000</v>
      </c>
      <c r="K453" s="47" t="str">
        <f>'[1]გეგმა 2024'!C62</f>
        <v xml:space="preserve">რესტორნებისა და კვების საწარმოების მომსახურეობები </v>
      </c>
      <c r="L453" s="47" t="s">
        <v>868</v>
      </c>
      <c r="M453" s="72" t="s">
        <v>927</v>
      </c>
    </row>
    <row r="454" spans="1:13" ht="180">
      <c r="A454" s="46">
        <v>449</v>
      </c>
      <c r="B454" s="47" t="s">
        <v>928</v>
      </c>
      <c r="C454" s="47" t="s">
        <v>207</v>
      </c>
      <c r="D454" s="48">
        <v>1680</v>
      </c>
      <c r="E454" s="48">
        <f>1680</f>
        <v>1680</v>
      </c>
      <c r="F454" s="48">
        <f t="shared" si="7"/>
        <v>0</v>
      </c>
      <c r="G454" s="85" t="s">
        <v>929</v>
      </c>
      <c r="H454" s="50" t="s">
        <v>147</v>
      </c>
      <c r="I454" s="47" t="s">
        <v>31</v>
      </c>
      <c r="J454" s="51">
        <v>55100000</v>
      </c>
      <c r="K454" s="47" t="str">
        <f>'[1]გეგმა 2024'!C59</f>
        <v>სასტუმროს მომსახურება</v>
      </c>
      <c r="L454" s="47" t="s">
        <v>868</v>
      </c>
      <c r="M454" s="53" t="s">
        <v>930</v>
      </c>
    </row>
    <row r="455" spans="1:13" ht="180">
      <c r="A455" s="46">
        <v>450</v>
      </c>
      <c r="B455" s="47" t="s">
        <v>890</v>
      </c>
      <c r="C455" s="47" t="s">
        <v>240</v>
      </c>
      <c r="D455" s="48">
        <v>2750</v>
      </c>
      <c r="E455" s="48">
        <f>2750</f>
        <v>2750</v>
      </c>
      <c r="F455" s="48">
        <f t="shared" si="7"/>
        <v>0</v>
      </c>
      <c r="G455" s="85" t="s">
        <v>931</v>
      </c>
      <c r="H455" s="50" t="s">
        <v>147</v>
      </c>
      <c r="I455" s="47" t="s">
        <v>31</v>
      </c>
      <c r="J455" s="100">
        <v>63500000</v>
      </c>
      <c r="K455" s="47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455" s="47" t="s">
        <v>868</v>
      </c>
      <c r="M455" s="53" t="s">
        <v>932</v>
      </c>
    </row>
    <row r="456" spans="1:13" ht="180">
      <c r="A456" s="46">
        <v>451</v>
      </c>
      <c r="B456" s="47" t="s">
        <v>890</v>
      </c>
      <c r="C456" s="47" t="s">
        <v>188</v>
      </c>
      <c r="D456" s="48">
        <v>3600</v>
      </c>
      <c r="E456" s="48">
        <f>3600</f>
        <v>3600</v>
      </c>
      <c r="F456" s="48">
        <f t="shared" si="7"/>
        <v>0</v>
      </c>
      <c r="G456" s="85" t="s">
        <v>931</v>
      </c>
      <c r="H456" s="50" t="s">
        <v>147</v>
      </c>
      <c r="I456" s="47" t="s">
        <v>31</v>
      </c>
      <c r="J456" s="100">
        <v>60100000</v>
      </c>
      <c r="K456" s="47" t="str">
        <f>'[1]გეგმა 2024'!C64</f>
        <v xml:space="preserve"> საავტომობილო ტრანსპორტის მომსახურებები</v>
      </c>
      <c r="L456" s="47" t="s">
        <v>868</v>
      </c>
      <c r="M456" s="53" t="s">
        <v>933</v>
      </c>
    </row>
    <row r="457" spans="1:13" ht="180">
      <c r="A457" s="46">
        <v>452</v>
      </c>
      <c r="B457" s="47" t="s">
        <v>812</v>
      </c>
      <c r="C457" s="47" t="s">
        <v>207</v>
      </c>
      <c r="D457" s="48">
        <v>4000</v>
      </c>
      <c r="E457" s="48">
        <f>4000</f>
        <v>4000</v>
      </c>
      <c r="F457" s="48">
        <f t="shared" si="7"/>
        <v>0</v>
      </c>
      <c r="G457" s="85" t="s">
        <v>931</v>
      </c>
      <c r="H457" s="50" t="s">
        <v>147</v>
      </c>
      <c r="I457" s="47" t="s">
        <v>31</v>
      </c>
      <c r="J457" s="51">
        <v>55100000</v>
      </c>
      <c r="K457" s="47" t="str">
        <f>'[1]გეგმა 2024'!C59</f>
        <v>სასტუმროს მომსახურება</v>
      </c>
      <c r="L457" s="47" t="s">
        <v>868</v>
      </c>
      <c r="M457" s="72" t="s">
        <v>934</v>
      </c>
    </row>
    <row r="458" spans="1:13" ht="180">
      <c r="A458" s="46">
        <v>453</v>
      </c>
      <c r="B458" s="47" t="s">
        <v>838</v>
      </c>
      <c r="C458" s="47" t="s">
        <v>207</v>
      </c>
      <c r="D458" s="48">
        <v>570</v>
      </c>
      <c r="E458" s="48">
        <f>570</f>
        <v>570</v>
      </c>
      <c r="F458" s="48">
        <f t="shared" si="7"/>
        <v>0</v>
      </c>
      <c r="G458" s="85" t="s">
        <v>931</v>
      </c>
      <c r="H458" s="50" t="s">
        <v>147</v>
      </c>
      <c r="I458" s="47" t="s">
        <v>31</v>
      </c>
      <c r="J458" s="51">
        <v>55100000</v>
      </c>
      <c r="K458" s="47" t="str">
        <f>'[1]გეგმა 2024'!C59</f>
        <v>სასტუმროს მომსახურება</v>
      </c>
      <c r="L458" s="47" t="s">
        <v>868</v>
      </c>
      <c r="M458" s="104" t="s">
        <v>935</v>
      </c>
    </row>
    <row r="459" spans="1:13" ht="180">
      <c r="A459" s="46">
        <v>454</v>
      </c>
      <c r="B459" s="47" t="s">
        <v>295</v>
      </c>
      <c r="C459" s="47" t="s">
        <v>209</v>
      </c>
      <c r="D459" s="48">
        <f>56</f>
        <v>56</v>
      </c>
      <c r="E459" s="48">
        <f>56</f>
        <v>56</v>
      </c>
      <c r="F459" s="48">
        <f t="shared" si="7"/>
        <v>0</v>
      </c>
      <c r="G459" s="85" t="s">
        <v>931</v>
      </c>
      <c r="H459" s="50" t="s">
        <v>147</v>
      </c>
      <c r="I459" s="47" t="s">
        <v>31</v>
      </c>
      <c r="J459" s="51">
        <v>55300000</v>
      </c>
      <c r="K459" s="47" t="str">
        <f>'[1]გეგმა 2024'!C62</f>
        <v xml:space="preserve">რესტორნებისა და კვების საწარმოების მომსახურეობები </v>
      </c>
      <c r="L459" s="47" t="s">
        <v>868</v>
      </c>
      <c r="M459" s="53" t="s">
        <v>936</v>
      </c>
    </row>
    <row r="460" spans="1:13" ht="180">
      <c r="A460" s="46">
        <v>455</v>
      </c>
      <c r="B460" s="47" t="s">
        <v>937</v>
      </c>
      <c r="C460" s="47" t="s">
        <v>209</v>
      </c>
      <c r="D460" s="48">
        <f>450</f>
        <v>450</v>
      </c>
      <c r="E460" s="48">
        <f>450</f>
        <v>450</v>
      </c>
      <c r="F460" s="48">
        <f t="shared" si="7"/>
        <v>0</v>
      </c>
      <c r="G460" s="85" t="s">
        <v>931</v>
      </c>
      <c r="H460" s="50" t="s">
        <v>147</v>
      </c>
      <c r="I460" s="47" t="s">
        <v>31</v>
      </c>
      <c r="J460" s="51">
        <v>55300000</v>
      </c>
      <c r="K460" s="47" t="str">
        <f>'[1]გეგმა 2024'!C62</f>
        <v xml:space="preserve">რესტორნებისა და კვების საწარმოების მომსახურეობები </v>
      </c>
      <c r="L460" s="47" t="s">
        <v>868</v>
      </c>
      <c r="M460" s="53" t="s">
        <v>938</v>
      </c>
    </row>
    <row r="461" spans="1:13" ht="180">
      <c r="A461" s="46">
        <v>456</v>
      </c>
      <c r="B461" s="47" t="s">
        <v>937</v>
      </c>
      <c r="C461" s="47" t="s">
        <v>939</v>
      </c>
      <c r="D461" s="48">
        <v>70</v>
      </c>
      <c r="E461" s="48">
        <f>70</f>
        <v>70</v>
      </c>
      <c r="F461" s="48">
        <f t="shared" si="7"/>
        <v>0</v>
      </c>
      <c r="G461" s="85" t="s">
        <v>931</v>
      </c>
      <c r="H461" s="50" t="s">
        <v>147</v>
      </c>
      <c r="I461" s="47" t="s">
        <v>31</v>
      </c>
      <c r="J461" s="100">
        <v>55400000</v>
      </c>
      <c r="K461" s="47" t="str">
        <f>'[1]გეგმა 2024'!C63</f>
        <v>სასმელების მიტანის მომსახურება</v>
      </c>
      <c r="L461" s="47" t="s">
        <v>868</v>
      </c>
      <c r="M461" s="72" t="s">
        <v>940</v>
      </c>
    </row>
    <row r="462" spans="1:13" ht="54.75" customHeight="1">
      <c r="A462" s="21">
        <v>458</v>
      </c>
      <c r="B462" s="2" t="s">
        <v>941</v>
      </c>
      <c r="C462" s="2" t="s">
        <v>209</v>
      </c>
      <c r="D462" s="22">
        <v>240</v>
      </c>
      <c r="E462" s="22">
        <f>129</f>
        <v>129</v>
      </c>
      <c r="F462" s="22">
        <f t="shared" si="7"/>
        <v>111</v>
      </c>
      <c r="G462" s="92" t="s">
        <v>931</v>
      </c>
      <c r="H462" s="45" t="s">
        <v>147</v>
      </c>
      <c r="I462" s="2" t="s">
        <v>31</v>
      </c>
      <c r="J462" s="23">
        <v>55300000</v>
      </c>
      <c r="K462" s="2" t="str">
        <f>'[1]გეგმა 2024'!C62</f>
        <v xml:space="preserve">რესტორნებისა და კვების საწარმოების მომსახურეობები </v>
      </c>
      <c r="L462" s="2" t="s">
        <v>868</v>
      </c>
      <c r="M462" s="24" t="s">
        <v>942</v>
      </c>
    </row>
    <row r="463" spans="1:13" ht="146.25">
      <c r="A463" s="46">
        <v>459</v>
      </c>
      <c r="B463" s="47" t="s">
        <v>943</v>
      </c>
      <c r="C463" s="47" t="s">
        <v>944</v>
      </c>
      <c r="D463" s="48">
        <v>3620</v>
      </c>
      <c r="E463" s="48">
        <f>3620</f>
        <v>3620</v>
      </c>
      <c r="F463" s="48">
        <f t="shared" si="7"/>
        <v>0</v>
      </c>
      <c r="G463" s="85" t="s">
        <v>945</v>
      </c>
      <c r="H463" s="50" t="s">
        <v>147</v>
      </c>
      <c r="I463" s="47" t="s">
        <v>31</v>
      </c>
      <c r="J463" s="100">
        <v>42500000</v>
      </c>
      <c r="K463" s="47" t="str">
        <f>'[1]გეგმა 2024'!C42</f>
        <v>კონდიციონერი</v>
      </c>
      <c r="L463" s="102" t="s">
        <v>70</v>
      </c>
      <c r="M463" s="72" t="s">
        <v>946</v>
      </c>
    </row>
    <row r="464" spans="1:13" ht="146.25">
      <c r="A464" s="46">
        <v>460</v>
      </c>
      <c r="B464" s="47" t="s">
        <v>947</v>
      </c>
      <c r="C464" s="47" t="s">
        <v>948</v>
      </c>
      <c r="D464" s="48">
        <v>354</v>
      </c>
      <c r="E464" s="48">
        <f>354</f>
        <v>354</v>
      </c>
      <c r="F464" s="48">
        <f t="shared" si="7"/>
        <v>0</v>
      </c>
      <c r="G464" s="85" t="s">
        <v>949</v>
      </c>
      <c r="H464" s="50" t="s">
        <v>147</v>
      </c>
      <c r="I464" s="47" t="s">
        <v>31</v>
      </c>
      <c r="J464" s="100">
        <v>72200000</v>
      </c>
      <c r="K464" s="47" t="str">
        <f>'[1]გეგმა 2024'!C79</f>
        <v>პროგრამული უზრუნველყოფის შემუშავება.</v>
      </c>
      <c r="L464" s="108" t="s">
        <v>70</v>
      </c>
      <c r="M464" s="53" t="s">
        <v>950</v>
      </c>
    </row>
    <row r="465" spans="1:13" ht="180">
      <c r="A465" s="46">
        <v>461</v>
      </c>
      <c r="B465" s="47" t="s">
        <v>904</v>
      </c>
      <c r="C465" s="47" t="s">
        <v>240</v>
      </c>
      <c r="D465" s="48">
        <v>2500</v>
      </c>
      <c r="E465" s="48">
        <f>2500</f>
        <v>2500</v>
      </c>
      <c r="F465" s="48">
        <f t="shared" si="7"/>
        <v>0</v>
      </c>
      <c r="G465" s="85" t="s">
        <v>949</v>
      </c>
      <c r="H465" s="50" t="s">
        <v>147</v>
      </c>
      <c r="I465" s="47" t="s">
        <v>31</v>
      </c>
      <c r="J465" s="100">
        <v>63500000</v>
      </c>
      <c r="K465" s="47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465" s="47" t="s">
        <v>868</v>
      </c>
      <c r="M465" s="53" t="s">
        <v>951</v>
      </c>
    </row>
    <row r="466" spans="1:13" ht="180">
      <c r="A466" s="46">
        <v>462</v>
      </c>
      <c r="B466" s="47" t="s">
        <v>904</v>
      </c>
      <c r="C466" s="47" t="s">
        <v>188</v>
      </c>
      <c r="D466" s="48">
        <v>3700</v>
      </c>
      <c r="E466" s="48">
        <f>3700</f>
        <v>3700</v>
      </c>
      <c r="F466" s="48">
        <f t="shared" si="7"/>
        <v>0</v>
      </c>
      <c r="G466" s="85" t="s">
        <v>949</v>
      </c>
      <c r="H466" s="50" t="s">
        <v>147</v>
      </c>
      <c r="I466" s="47" t="s">
        <v>31</v>
      </c>
      <c r="J466" s="100">
        <v>60100000</v>
      </c>
      <c r="K466" s="47" t="str">
        <f>'[1]გეგმა 2024'!C64</f>
        <v xml:space="preserve"> საავტომობილო ტრანსპორტის მომსახურებები</v>
      </c>
      <c r="L466" s="47" t="s">
        <v>868</v>
      </c>
      <c r="M466" s="109" t="s">
        <v>952</v>
      </c>
    </row>
    <row r="467" spans="1:13" ht="180">
      <c r="A467" s="46">
        <v>463</v>
      </c>
      <c r="B467" s="47" t="s">
        <v>911</v>
      </c>
      <c r="C467" s="47" t="s">
        <v>912</v>
      </c>
      <c r="D467" s="48">
        <v>110</v>
      </c>
      <c r="E467" s="48">
        <f>110</f>
        <v>110</v>
      </c>
      <c r="F467" s="48">
        <f t="shared" si="7"/>
        <v>0</v>
      </c>
      <c r="G467" s="85" t="s">
        <v>949</v>
      </c>
      <c r="H467" s="50" t="s">
        <v>147</v>
      </c>
      <c r="I467" s="47" t="s">
        <v>31</v>
      </c>
      <c r="J467" s="100">
        <v>92500000</v>
      </c>
      <c r="K467" s="47" t="str">
        <f>'[1]გეგმა 2024'!C114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467" s="47" t="s">
        <v>868</v>
      </c>
      <c r="M467" s="53" t="s">
        <v>953</v>
      </c>
    </row>
    <row r="468" spans="1:13" ht="303.75">
      <c r="A468" s="46">
        <v>464</v>
      </c>
      <c r="B468" s="47" t="s">
        <v>892</v>
      </c>
      <c r="C468" s="47" t="s">
        <v>954</v>
      </c>
      <c r="D468" s="48">
        <v>800</v>
      </c>
      <c r="E468" s="48">
        <f>800</f>
        <v>800</v>
      </c>
      <c r="F468" s="48">
        <f t="shared" si="7"/>
        <v>0</v>
      </c>
      <c r="G468" s="85" t="s">
        <v>949</v>
      </c>
      <c r="H468" s="50" t="s">
        <v>147</v>
      </c>
      <c r="I468" s="47" t="s">
        <v>31</v>
      </c>
      <c r="J468" s="100">
        <v>63100000</v>
      </c>
      <c r="K468" s="47" t="str">
        <f>'[1]გეგმა 2024'!C66</f>
        <v>ტვირთის გადაზიდვისა და შენახვის მომსახურებები.</v>
      </c>
      <c r="L468" s="47" t="s">
        <v>108</v>
      </c>
      <c r="M468" s="53" t="s">
        <v>955</v>
      </c>
    </row>
    <row r="469" spans="1:13" ht="303.75">
      <c r="A469" s="46">
        <v>465</v>
      </c>
      <c r="B469" s="47" t="s">
        <v>956</v>
      </c>
      <c r="C469" s="47" t="s">
        <v>957</v>
      </c>
      <c r="D469" s="48">
        <f>41923.5</f>
        <v>41923.5</v>
      </c>
      <c r="E469" s="48">
        <f>41923.5</f>
        <v>41923.5</v>
      </c>
      <c r="F469" s="48">
        <f t="shared" si="7"/>
        <v>0</v>
      </c>
      <c r="G469" s="85" t="s">
        <v>958</v>
      </c>
      <c r="H469" s="50" t="s">
        <v>147</v>
      </c>
      <c r="I469" s="47" t="s">
        <v>31</v>
      </c>
      <c r="J469" s="100">
        <v>55300000</v>
      </c>
      <c r="K469" s="47" t="str">
        <f>'[1]გეგმა 2024'!C60</f>
        <v>რესტორნებისა და კვების საწარმოების მომსახურეობები ..</v>
      </c>
      <c r="L469" s="47" t="s">
        <v>108</v>
      </c>
      <c r="M469" s="74" t="s">
        <v>959</v>
      </c>
    </row>
    <row r="470" spans="1:13" ht="146.25">
      <c r="A470" s="46">
        <v>466</v>
      </c>
      <c r="B470" s="47" t="s">
        <v>131</v>
      </c>
      <c r="C470" s="47" t="s">
        <v>960</v>
      </c>
      <c r="D470" s="48">
        <v>3200</v>
      </c>
      <c r="E470" s="48">
        <f>3200</f>
        <v>3200</v>
      </c>
      <c r="F470" s="48">
        <f t="shared" si="7"/>
        <v>0</v>
      </c>
      <c r="G470" s="85" t="s">
        <v>958</v>
      </c>
      <c r="H470" s="50" t="s">
        <v>147</v>
      </c>
      <c r="I470" s="47" t="s">
        <v>31</v>
      </c>
      <c r="J470" s="100">
        <v>63700000</v>
      </c>
      <c r="K470" s="47" t="str">
        <f>'[1]გეგმა 2024'!C69</f>
        <v> სახმელეთო, წყლისა და საჰაერო ტრანსპორტის დამხმარე მომსახურებები</v>
      </c>
      <c r="L470" s="47" t="s">
        <v>70</v>
      </c>
      <c r="M470" s="72" t="s">
        <v>961</v>
      </c>
    </row>
    <row r="471" spans="1:13" ht="157.5">
      <c r="A471" s="46">
        <v>467</v>
      </c>
      <c r="B471" s="47" t="s">
        <v>255</v>
      </c>
      <c r="C471" s="47" t="s">
        <v>209</v>
      </c>
      <c r="D471" s="48">
        <f>236</f>
        <v>236</v>
      </c>
      <c r="E471" s="48">
        <f>236</f>
        <v>236</v>
      </c>
      <c r="F471" s="48">
        <f t="shared" si="7"/>
        <v>0</v>
      </c>
      <c r="G471" s="85" t="s">
        <v>958</v>
      </c>
      <c r="H471" s="50" t="s">
        <v>147</v>
      </c>
      <c r="I471" s="47" t="s">
        <v>31</v>
      </c>
      <c r="J471" s="100">
        <v>55300000</v>
      </c>
      <c r="K471" s="47" t="str">
        <f>'[1]გეგმა 2024'!C62</f>
        <v xml:space="preserve">რესტორნებისა და კვების საწარმოების მომსახურეობები </v>
      </c>
      <c r="L471" s="102" t="s">
        <v>166</v>
      </c>
      <c r="M471" s="72" t="s">
        <v>962</v>
      </c>
    </row>
    <row r="472" spans="1:13" ht="157.5">
      <c r="A472" s="46">
        <v>468</v>
      </c>
      <c r="B472" s="47" t="s">
        <v>300</v>
      </c>
      <c r="C472" s="47" t="s">
        <v>209</v>
      </c>
      <c r="D472" s="48">
        <f>215</f>
        <v>215</v>
      </c>
      <c r="E472" s="48">
        <f>215</f>
        <v>215</v>
      </c>
      <c r="F472" s="48">
        <f t="shared" si="7"/>
        <v>0</v>
      </c>
      <c r="G472" s="85" t="s">
        <v>958</v>
      </c>
      <c r="H472" s="50" t="s">
        <v>147</v>
      </c>
      <c r="I472" s="47" t="s">
        <v>31</v>
      </c>
      <c r="J472" s="100">
        <v>55300000</v>
      </c>
      <c r="K472" s="47" t="str">
        <f>'[1]გეგმა 2024'!C62</f>
        <v xml:space="preserve">რესტორნებისა და კვების საწარმოების მომსახურეობები </v>
      </c>
      <c r="L472" s="102" t="s">
        <v>166</v>
      </c>
      <c r="M472" s="72" t="s">
        <v>963</v>
      </c>
    </row>
    <row r="473" spans="1:13" ht="157.5">
      <c r="A473" s="46">
        <v>469</v>
      </c>
      <c r="B473" s="47" t="s">
        <v>964</v>
      </c>
      <c r="C473" s="47" t="s">
        <v>209</v>
      </c>
      <c r="D473" s="48">
        <f>200</f>
        <v>200</v>
      </c>
      <c r="E473" s="48">
        <f>200</f>
        <v>200</v>
      </c>
      <c r="F473" s="48">
        <f t="shared" si="7"/>
        <v>0</v>
      </c>
      <c r="G473" s="85" t="s">
        <v>958</v>
      </c>
      <c r="H473" s="50" t="s">
        <v>147</v>
      </c>
      <c r="I473" s="47" t="s">
        <v>31</v>
      </c>
      <c r="J473" s="100">
        <v>55300000</v>
      </c>
      <c r="K473" s="47" t="str">
        <f>'[1]გეგმა 2024'!C62</f>
        <v xml:space="preserve">რესტორნებისა და კვების საწარმოების მომსახურეობები </v>
      </c>
      <c r="L473" s="102" t="s">
        <v>166</v>
      </c>
      <c r="M473" s="53" t="s">
        <v>965</v>
      </c>
    </row>
    <row r="474" spans="1:13" ht="157.5">
      <c r="A474" s="46">
        <v>470</v>
      </c>
      <c r="B474" s="47" t="s">
        <v>964</v>
      </c>
      <c r="C474" s="47" t="s">
        <v>273</v>
      </c>
      <c r="D474" s="48">
        <v>200</v>
      </c>
      <c r="E474" s="48">
        <f>200</f>
        <v>200</v>
      </c>
      <c r="F474" s="48">
        <f t="shared" si="7"/>
        <v>0</v>
      </c>
      <c r="G474" s="85" t="s">
        <v>958</v>
      </c>
      <c r="H474" s="50" t="s">
        <v>147</v>
      </c>
      <c r="I474" s="47" t="s">
        <v>31</v>
      </c>
      <c r="J474" s="100">
        <v>55400000</v>
      </c>
      <c r="K474" s="47" t="str">
        <f>'[1]გეგმა 2024'!C63</f>
        <v>სასმელების მიტანის მომსახურება</v>
      </c>
      <c r="L474" s="102" t="s">
        <v>166</v>
      </c>
      <c r="M474" s="72" t="s">
        <v>966</v>
      </c>
    </row>
    <row r="475" spans="1:13" ht="157.5">
      <c r="A475" s="46">
        <v>472</v>
      </c>
      <c r="B475" s="47" t="s">
        <v>363</v>
      </c>
      <c r="C475" s="47" t="s">
        <v>209</v>
      </c>
      <c r="D475" s="48">
        <f>238.36</f>
        <v>238.36</v>
      </c>
      <c r="E475" s="48">
        <f>238.36</f>
        <v>238.36</v>
      </c>
      <c r="F475" s="48">
        <f t="shared" si="7"/>
        <v>0</v>
      </c>
      <c r="G475" s="85" t="s">
        <v>958</v>
      </c>
      <c r="H475" s="50" t="s">
        <v>147</v>
      </c>
      <c r="I475" s="47" t="s">
        <v>31</v>
      </c>
      <c r="J475" s="100">
        <v>55300000</v>
      </c>
      <c r="K475" s="47" t="str">
        <f>'[1]გეგმა 2024'!C62</f>
        <v xml:space="preserve">რესტორნებისა და კვების საწარმოების მომსახურეობები </v>
      </c>
      <c r="L475" s="102" t="s">
        <v>166</v>
      </c>
      <c r="M475" s="72" t="s">
        <v>967</v>
      </c>
    </row>
    <row r="476" spans="1:13" ht="157.5">
      <c r="A476" s="46">
        <v>473</v>
      </c>
      <c r="B476" s="47" t="s">
        <v>334</v>
      </c>
      <c r="C476" s="47" t="s">
        <v>209</v>
      </c>
      <c r="D476" s="48">
        <f>458.01</f>
        <v>458.01</v>
      </c>
      <c r="E476" s="48">
        <f>458.01</f>
        <v>458.01</v>
      </c>
      <c r="F476" s="48">
        <f t="shared" si="7"/>
        <v>0</v>
      </c>
      <c r="G476" s="85" t="s">
        <v>958</v>
      </c>
      <c r="H476" s="50" t="s">
        <v>147</v>
      </c>
      <c r="I476" s="47" t="s">
        <v>31</v>
      </c>
      <c r="J476" s="100">
        <v>55300000</v>
      </c>
      <c r="K476" s="47" t="str">
        <f>'[1]გეგმა 2024'!C62</f>
        <v xml:space="preserve">რესტორნებისა და კვების საწარმოების მომსახურეობები </v>
      </c>
      <c r="L476" s="102" t="s">
        <v>166</v>
      </c>
      <c r="M476" s="53" t="s">
        <v>968</v>
      </c>
    </row>
    <row r="477" spans="1:13" ht="157.5">
      <c r="A477" s="46">
        <v>475</v>
      </c>
      <c r="B477" s="47" t="s">
        <v>970</v>
      </c>
      <c r="C477" s="47" t="s">
        <v>207</v>
      </c>
      <c r="D477" s="48">
        <v>708</v>
      </c>
      <c r="E477" s="48">
        <f>708</f>
        <v>708</v>
      </c>
      <c r="F477" s="48">
        <f t="shared" si="7"/>
        <v>0</v>
      </c>
      <c r="G477" s="85" t="s">
        <v>958</v>
      </c>
      <c r="H477" s="50" t="s">
        <v>147</v>
      </c>
      <c r="I477" s="47" t="s">
        <v>31</v>
      </c>
      <c r="J477" s="51">
        <v>55100000</v>
      </c>
      <c r="K477" s="47" t="str">
        <f>'[1]გეგმა 2024'!C59</f>
        <v>სასტუმროს მომსახურება</v>
      </c>
      <c r="L477" s="102" t="s">
        <v>166</v>
      </c>
      <c r="M477" s="72" t="s">
        <v>971</v>
      </c>
    </row>
    <row r="478" spans="1:13" ht="157.5">
      <c r="A478" s="46">
        <v>476</v>
      </c>
      <c r="B478" s="47" t="s">
        <v>363</v>
      </c>
      <c r="C478" s="47" t="s">
        <v>207</v>
      </c>
      <c r="D478" s="48">
        <v>920.4</v>
      </c>
      <c r="E478" s="48">
        <f>920.4</f>
        <v>920.4</v>
      </c>
      <c r="F478" s="48">
        <f t="shared" si="7"/>
        <v>0</v>
      </c>
      <c r="G478" s="85" t="s">
        <v>958</v>
      </c>
      <c r="H478" s="50" t="s">
        <v>147</v>
      </c>
      <c r="I478" s="47" t="s">
        <v>31</v>
      </c>
      <c r="J478" s="51">
        <v>55100000</v>
      </c>
      <c r="K478" s="47" t="str">
        <f>'[1]გეგმა 2024'!C59</f>
        <v>სასტუმროს მომსახურება</v>
      </c>
      <c r="L478" s="102" t="s">
        <v>166</v>
      </c>
      <c r="M478" s="72" t="s">
        <v>972</v>
      </c>
    </row>
    <row r="479" spans="1:13" ht="157.5">
      <c r="A479" s="46">
        <v>477</v>
      </c>
      <c r="B479" s="47" t="s">
        <v>316</v>
      </c>
      <c r="C479" s="47" t="s">
        <v>273</v>
      </c>
      <c r="D479" s="48">
        <v>120</v>
      </c>
      <c r="E479" s="48">
        <f>120</f>
        <v>120</v>
      </c>
      <c r="F479" s="48">
        <f t="shared" si="7"/>
        <v>0</v>
      </c>
      <c r="G479" s="85" t="s">
        <v>958</v>
      </c>
      <c r="H479" s="50" t="s">
        <v>147</v>
      </c>
      <c r="I479" s="47" t="s">
        <v>31</v>
      </c>
      <c r="J479" s="100">
        <v>55400000</v>
      </c>
      <c r="K479" s="47" t="str">
        <f>'[1]გეგმა 2024'!C63</f>
        <v>სასმელების მიტანის მომსახურება</v>
      </c>
      <c r="L479" s="102" t="s">
        <v>166</v>
      </c>
      <c r="M479" s="72" t="s">
        <v>973</v>
      </c>
    </row>
    <row r="480" spans="1:13" ht="157.5">
      <c r="A480" s="46">
        <v>478</v>
      </c>
      <c r="B480" s="47" t="s">
        <v>974</v>
      </c>
      <c r="C480" s="47" t="s">
        <v>273</v>
      </c>
      <c r="D480" s="48">
        <v>80</v>
      </c>
      <c r="E480" s="48">
        <f>80</f>
        <v>80</v>
      </c>
      <c r="F480" s="48">
        <f t="shared" si="7"/>
        <v>0</v>
      </c>
      <c r="G480" s="85" t="s">
        <v>958</v>
      </c>
      <c r="H480" s="50" t="s">
        <v>147</v>
      </c>
      <c r="I480" s="47" t="s">
        <v>31</v>
      </c>
      <c r="J480" s="100">
        <v>55400000</v>
      </c>
      <c r="K480" s="47" t="str">
        <f>'[1]გეგმა 2024'!C63</f>
        <v>სასმელების მიტანის მომსახურება</v>
      </c>
      <c r="L480" s="102" t="s">
        <v>166</v>
      </c>
      <c r="M480" s="53" t="s">
        <v>975</v>
      </c>
    </row>
    <row r="481" spans="1:13" ht="157.5">
      <c r="A481" s="46">
        <v>479</v>
      </c>
      <c r="B481" s="47" t="s">
        <v>976</v>
      </c>
      <c r="C481" s="47" t="s">
        <v>912</v>
      </c>
      <c r="D481" s="48">
        <v>113</v>
      </c>
      <c r="E481" s="48">
        <f>113</f>
        <v>113</v>
      </c>
      <c r="F481" s="48">
        <f t="shared" si="7"/>
        <v>0</v>
      </c>
      <c r="G481" s="85" t="s">
        <v>958</v>
      </c>
      <c r="H481" s="50" t="s">
        <v>147</v>
      </c>
      <c r="I481" s="47" t="s">
        <v>31</v>
      </c>
      <c r="J481" s="100">
        <v>92500000</v>
      </c>
      <c r="K481" s="47" t="str">
        <f>'[1]გეგმა 2024'!C114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481" s="102" t="s">
        <v>166</v>
      </c>
      <c r="M481" s="72" t="s">
        <v>977</v>
      </c>
    </row>
    <row r="482" spans="1:13" ht="157.5">
      <c r="A482" s="46">
        <v>480</v>
      </c>
      <c r="B482" s="47" t="s">
        <v>976</v>
      </c>
      <c r="C482" s="47" t="s">
        <v>627</v>
      </c>
      <c r="D482" s="48">
        <v>337</v>
      </c>
      <c r="E482" s="48">
        <f>337</f>
        <v>337</v>
      </c>
      <c r="F482" s="48">
        <f t="shared" si="7"/>
        <v>0</v>
      </c>
      <c r="G482" s="85" t="s">
        <v>958</v>
      </c>
      <c r="H482" s="50" t="s">
        <v>147</v>
      </c>
      <c r="I482" s="47" t="s">
        <v>31</v>
      </c>
      <c r="J482" s="100">
        <v>55400000</v>
      </c>
      <c r="K482" s="47" t="str">
        <f>'[1]გეგმა 2024'!C63</f>
        <v>სასმელების მიტანის მომსახურება</v>
      </c>
      <c r="L482" s="102" t="s">
        <v>166</v>
      </c>
      <c r="M482" s="53" t="s">
        <v>978</v>
      </c>
    </row>
    <row r="483" spans="1:13" ht="157.5">
      <c r="A483" s="46">
        <v>481</v>
      </c>
      <c r="B483" s="47" t="s">
        <v>334</v>
      </c>
      <c r="C483" s="47" t="s">
        <v>209</v>
      </c>
      <c r="D483" s="48">
        <f>145.01</f>
        <v>145.01</v>
      </c>
      <c r="E483" s="48">
        <f>145.01</f>
        <v>145.01</v>
      </c>
      <c r="F483" s="48">
        <f t="shared" si="7"/>
        <v>0</v>
      </c>
      <c r="G483" s="85" t="s">
        <v>958</v>
      </c>
      <c r="H483" s="50" t="s">
        <v>147</v>
      </c>
      <c r="I483" s="47" t="s">
        <v>31</v>
      </c>
      <c r="J483" s="100">
        <v>55300000</v>
      </c>
      <c r="K483" s="47" t="str">
        <f>'[1]გეგმა 2024'!C62</f>
        <v xml:space="preserve">რესტორნებისა და კვების საწარმოების მომსახურეობები </v>
      </c>
      <c r="L483" s="102" t="s">
        <v>166</v>
      </c>
      <c r="M483" s="53" t="s">
        <v>979</v>
      </c>
    </row>
    <row r="484" spans="1:13" ht="157.5">
      <c r="A484" s="38">
        <v>482</v>
      </c>
      <c r="B484" s="39" t="s">
        <v>318</v>
      </c>
      <c r="C484" s="39" t="s">
        <v>209</v>
      </c>
      <c r="D484" s="40"/>
      <c r="E484" s="40"/>
      <c r="F484" s="40">
        <f t="shared" si="7"/>
        <v>0</v>
      </c>
      <c r="G484" s="87" t="s">
        <v>958</v>
      </c>
      <c r="H484" s="67" t="s">
        <v>147</v>
      </c>
      <c r="I484" s="39" t="s">
        <v>31</v>
      </c>
      <c r="J484" s="107">
        <v>55300000</v>
      </c>
      <c r="K484" s="39" t="str">
        <f>'[1]გეგმა 2024'!C62</f>
        <v xml:space="preserve">რესტორნებისა და კვების საწარმოების მომსახურეობები </v>
      </c>
      <c r="L484" s="110" t="s">
        <v>166</v>
      </c>
      <c r="M484" s="41"/>
    </row>
    <row r="485" spans="1:13" ht="157.5">
      <c r="A485" s="46">
        <v>483</v>
      </c>
      <c r="B485" s="47" t="s">
        <v>980</v>
      </c>
      <c r="C485" s="47" t="s">
        <v>209</v>
      </c>
      <c r="D485" s="48">
        <f>214</f>
        <v>214</v>
      </c>
      <c r="E485" s="48">
        <f>214</f>
        <v>214</v>
      </c>
      <c r="F485" s="48">
        <f t="shared" si="7"/>
        <v>0</v>
      </c>
      <c r="G485" s="85" t="s">
        <v>958</v>
      </c>
      <c r="H485" s="50" t="s">
        <v>147</v>
      </c>
      <c r="I485" s="47" t="s">
        <v>31</v>
      </c>
      <c r="J485" s="100">
        <v>55300000</v>
      </c>
      <c r="K485" s="47" t="str">
        <f>'[1]გეგმა 2024'!C62</f>
        <v xml:space="preserve">რესტორნებისა და კვების საწარმოების მომსახურეობები </v>
      </c>
      <c r="L485" s="102" t="s">
        <v>166</v>
      </c>
      <c r="M485" s="72" t="s">
        <v>981</v>
      </c>
    </row>
    <row r="486" spans="1:13" ht="157.5">
      <c r="A486" s="46">
        <v>484</v>
      </c>
      <c r="B486" s="47" t="s">
        <v>982</v>
      </c>
      <c r="C486" s="47" t="s">
        <v>209</v>
      </c>
      <c r="D486" s="48">
        <f>171.09</f>
        <v>171.09</v>
      </c>
      <c r="E486" s="48">
        <f>171.09</f>
        <v>171.09</v>
      </c>
      <c r="F486" s="48">
        <f t="shared" si="7"/>
        <v>0</v>
      </c>
      <c r="G486" s="85" t="s">
        <v>958</v>
      </c>
      <c r="H486" s="50" t="s">
        <v>147</v>
      </c>
      <c r="I486" s="47" t="s">
        <v>31</v>
      </c>
      <c r="J486" s="100">
        <v>55300000</v>
      </c>
      <c r="K486" s="47" t="str">
        <f>'[1]გეგმა 2024'!C62</f>
        <v xml:space="preserve">რესტორნებისა და კვების საწარმოების მომსახურეობები </v>
      </c>
      <c r="L486" s="102" t="s">
        <v>166</v>
      </c>
      <c r="M486" s="72" t="s">
        <v>983</v>
      </c>
    </row>
    <row r="487" spans="1:13" ht="157.5">
      <c r="A487" s="46">
        <v>485</v>
      </c>
      <c r="B487" s="47" t="s">
        <v>363</v>
      </c>
      <c r="C487" s="47" t="s">
        <v>209</v>
      </c>
      <c r="D487" s="48">
        <f>173.46</f>
        <v>173.46</v>
      </c>
      <c r="E487" s="48">
        <f>173.46</f>
        <v>173.46</v>
      </c>
      <c r="F487" s="48">
        <f t="shared" si="7"/>
        <v>0</v>
      </c>
      <c r="G487" s="85" t="s">
        <v>958</v>
      </c>
      <c r="H487" s="50" t="s">
        <v>147</v>
      </c>
      <c r="I487" s="47" t="s">
        <v>31</v>
      </c>
      <c r="J487" s="100">
        <v>55300000</v>
      </c>
      <c r="K487" s="47" t="str">
        <f>'[1]გეგმა 2024'!C62</f>
        <v xml:space="preserve">რესტორნებისა და კვების საწარმოების მომსახურეობები </v>
      </c>
      <c r="L487" s="102" t="s">
        <v>166</v>
      </c>
      <c r="M487" s="53" t="s">
        <v>984</v>
      </c>
    </row>
    <row r="488" spans="1:13" ht="157.5">
      <c r="A488" s="46">
        <v>487</v>
      </c>
      <c r="B488" s="47" t="s">
        <v>985</v>
      </c>
      <c r="C488" s="47" t="s">
        <v>209</v>
      </c>
      <c r="D488" s="48">
        <f>235.4</f>
        <v>235.4</v>
      </c>
      <c r="E488" s="48">
        <f>235.4</f>
        <v>235.4</v>
      </c>
      <c r="F488" s="48">
        <f t="shared" si="7"/>
        <v>0</v>
      </c>
      <c r="G488" s="85" t="s">
        <v>958</v>
      </c>
      <c r="H488" s="50" t="s">
        <v>147</v>
      </c>
      <c r="I488" s="47" t="s">
        <v>31</v>
      </c>
      <c r="J488" s="100">
        <v>55300000</v>
      </c>
      <c r="K488" s="47" t="str">
        <f>'[1]გეგმა 2024'!C62</f>
        <v xml:space="preserve">რესტორნებისა და კვების საწარმოების მომსახურეობები </v>
      </c>
      <c r="L488" s="102" t="s">
        <v>166</v>
      </c>
      <c r="M488" s="53" t="s">
        <v>986</v>
      </c>
    </row>
    <row r="489" spans="1:13" ht="157.5">
      <c r="A489" s="46">
        <v>488</v>
      </c>
      <c r="B489" s="47" t="s">
        <v>861</v>
      </c>
      <c r="C489" s="47" t="s">
        <v>209</v>
      </c>
      <c r="D489" s="48">
        <f>195</f>
        <v>195</v>
      </c>
      <c r="E489" s="48">
        <f>195</f>
        <v>195</v>
      </c>
      <c r="F489" s="48">
        <f t="shared" si="7"/>
        <v>0</v>
      </c>
      <c r="G489" s="85" t="s">
        <v>958</v>
      </c>
      <c r="H489" s="50" t="s">
        <v>147</v>
      </c>
      <c r="I489" s="47" t="s">
        <v>31</v>
      </c>
      <c r="J489" s="100">
        <v>55300000</v>
      </c>
      <c r="K489" s="47" t="str">
        <f>'[1]გეგმა 2024'!C62</f>
        <v xml:space="preserve">რესტორნებისა და კვების საწარმოების მომსახურეობები </v>
      </c>
      <c r="L489" s="102" t="s">
        <v>166</v>
      </c>
      <c r="M489" s="53" t="s">
        <v>987</v>
      </c>
    </row>
    <row r="490" spans="1:13" ht="157.5">
      <c r="A490" s="21">
        <v>489</v>
      </c>
      <c r="B490" s="2" t="s">
        <v>271</v>
      </c>
      <c r="C490" s="2" t="s">
        <v>209</v>
      </c>
      <c r="D490" s="22">
        <v>300</v>
      </c>
      <c r="E490" s="22"/>
      <c r="F490" s="22">
        <f t="shared" si="7"/>
        <v>300</v>
      </c>
      <c r="G490" s="92" t="s">
        <v>958</v>
      </c>
      <c r="H490" s="45" t="s">
        <v>147</v>
      </c>
      <c r="I490" s="2" t="s">
        <v>31</v>
      </c>
      <c r="J490" s="101">
        <v>55300000</v>
      </c>
      <c r="K490" s="2" t="str">
        <f>'[1]გეგმა 2024'!C62</f>
        <v xml:space="preserve">რესტორნებისა და კვების საწარმოების მომსახურეობები </v>
      </c>
      <c r="L490" s="111" t="s">
        <v>166</v>
      </c>
      <c r="M490" s="98" t="s">
        <v>988</v>
      </c>
    </row>
    <row r="491" spans="1:13" ht="157.5">
      <c r="A491" s="46">
        <v>490</v>
      </c>
      <c r="B491" s="47" t="s">
        <v>989</v>
      </c>
      <c r="C491" s="47" t="s">
        <v>209</v>
      </c>
      <c r="D491" s="48">
        <f>145</f>
        <v>145</v>
      </c>
      <c r="E491" s="48">
        <f>145</f>
        <v>145</v>
      </c>
      <c r="F491" s="48">
        <f t="shared" si="7"/>
        <v>0</v>
      </c>
      <c r="G491" s="85" t="s">
        <v>958</v>
      </c>
      <c r="H491" s="50" t="s">
        <v>147</v>
      </c>
      <c r="I491" s="47" t="s">
        <v>31</v>
      </c>
      <c r="J491" s="100">
        <v>55300000</v>
      </c>
      <c r="K491" s="47" t="str">
        <f>'[1]გეგმა 2024'!C61</f>
        <v>რესტორნებისა და კვების საწარმოების მომსახურეობები .</v>
      </c>
      <c r="L491" s="102" t="s">
        <v>166</v>
      </c>
      <c r="M491" s="72" t="s">
        <v>990</v>
      </c>
    </row>
    <row r="492" spans="1:13" ht="157.5">
      <c r="A492" s="21">
        <v>491</v>
      </c>
      <c r="B492" s="2" t="s">
        <v>989</v>
      </c>
      <c r="C492" s="2" t="s">
        <v>273</v>
      </c>
      <c r="D492" s="22">
        <v>160</v>
      </c>
      <c r="E492" s="22"/>
      <c r="F492" s="22">
        <f t="shared" si="7"/>
        <v>160</v>
      </c>
      <c r="G492" s="92" t="s">
        <v>958</v>
      </c>
      <c r="H492" s="45" t="s">
        <v>147</v>
      </c>
      <c r="I492" s="2" t="s">
        <v>31</v>
      </c>
      <c r="J492" s="101">
        <v>55400000</v>
      </c>
      <c r="K492" s="2" t="str">
        <f>'[1]გეგმა 2024'!C63</f>
        <v>სასმელების მიტანის მომსახურება</v>
      </c>
      <c r="L492" s="111" t="s">
        <v>166</v>
      </c>
      <c r="M492" s="24" t="s">
        <v>991</v>
      </c>
    </row>
    <row r="493" spans="1:13" ht="157.5">
      <c r="A493" s="46">
        <v>492</v>
      </c>
      <c r="B493" s="47" t="s">
        <v>887</v>
      </c>
      <c r="C493" s="47" t="s">
        <v>240</v>
      </c>
      <c r="D493" s="48">
        <v>2650</v>
      </c>
      <c r="E493" s="48">
        <f>2650</f>
        <v>2650</v>
      </c>
      <c r="F493" s="48">
        <f t="shared" si="7"/>
        <v>0</v>
      </c>
      <c r="G493" s="85" t="s">
        <v>958</v>
      </c>
      <c r="H493" s="50" t="s">
        <v>147</v>
      </c>
      <c r="I493" s="47" t="s">
        <v>31</v>
      </c>
      <c r="J493" s="100">
        <v>63500000</v>
      </c>
      <c r="K493" s="47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493" s="102" t="s">
        <v>166</v>
      </c>
      <c r="M493" s="53" t="s">
        <v>992</v>
      </c>
    </row>
    <row r="494" spans="1:13" ht="157.5">
      <c r="A494" s="46">
        <v>493</v>
      </c>
      <c r="B494" s="47" t="s">
        <v>993</v>
      </c>
      <c r="C494" s="47" t="s">
        <v>207</v>
      </c>
      <c r="D494" s="48">
        <v>277</v>
      </c>
      <c r="E494" s="48">
        <f>277</f>
        <v>277</v>
      </c>
      <c r="F494" s="48">
        <f t="shared" si="7"/>
        <v>0</v>
      </c>
      <c r="G494" s="85" t="s">
        <v>958</v>
      </c>
      <c r="H494" s="50" t="s">
        <v>147</v>
      </c>
      <c r="I494" s="47" t="s">
        <v>31</v>
      </c>
      <c r="J494" s="51">
        <v>55100000</v>
      </c>
      <c r="K494" s="47" t="str">
        <f>'[1]გეგმა 2024'!C59</f>
        <v>სასტუმროს მომსახურება</v>
      </c>
      <c r="L494" s="102" t="s">
        <v>166</v>
      </c>
      <c r="M494" s="53" t="s">
        <v>994</v>
      </c>
    </row>
    <row r="495" spans="1:13" ht="157.5">
      <c r="A495" s="46">
        <v>494</v>
      </c>
      <c r="B495" s="47" t="s">
        <v>904</v>
      </c>
      <c r="C495" s="47" t="s">
        <v>188</v>
      </c>
      <c r="D495" s="48">
        <v>2499</v>
      </c>
      <c r="E495" s="48">
        <f>2499</f>
        <v>2499</v>
      </c>
      <c r="F495" s="48">
        <f t="shared" si="7"/>
        <v>0</v>
      </c>
      <c r="G495" s="85" t="s">
        <v>958</v>
      </c>
      <c r="H495" s="50" t="s">
        <v>147</v>
      </c>
      <c r="I495" s="47" t="s">
        <v>31</v>
      </c>
      <c r="J495" s="100">
        <v>60100000</v>
      </c>
      <c r="K495" s="47" t="str">
        <f>'[1]გეგმა 2024'!C64</f>
        <v xml:space="preserve"> საავტომობილო ტრანსპორტის მომსახურებები</v>
      </c>
      <c r="L495" s="102" t="s">
        <v>166</v>
      </c>
      <c r="M495" s="72" t="s">
        <v>995</v>
      </c>
    </row>
    <row r="496" spans="1:13" ht="157.5">
      <c r="A496" s="21">
        <v>495</v>
      </c>
      <c r="B496" s="2" t="s">
        <v>996</v>
      </c>
      <c r="C496" s="2" t="s">
        <v>237</v>
      </c>
      <c r="D496" s="22">
        <v>50</v>
      </c>
      <c r="E496" s="22"/>
      <c r="F496" s="22">
        <f t="shared" si="7"/>
        <v>50</v>
      </c>
      <c r="G496" s="92" t="s">
        <v>958</v>
      </c>
      <c r="H496" s="45" t="s">
        <v>147</v>
      </c>
      <c r="I496" s="2" t="s">
        <v>31</v>
      </c>
      <c r="J496" s="101">
        <v>92500000</v>
      </c>
      <c r="K496" s="2" t="str">
        <f>'[1]გეგმა 2024'!C114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496" s="111" t="s">
        <v>166</v>
      </c>
      <c r="M496" s="98" t="s">
        <v>997</v>
      </c>
    </row>
    <row r="497" spans="1:13" ht="157.5">
      <c r="A497" s="21">
        <v>496</v>
      </c>
      <c r="B497" s="2" t="s">
        <v>266</v>
      </c>
      <c r="C497" s="2" t="s">
        <v>998</v>
      </c>
      <c r="D497" s="22">
        <v>300</v>
      </c>
      <c r="E497" s="22"/>
      <c r="F497" s="22">
        <f t="shared" ref="F497:F558" si="8">D497-E497</f>
        <v>300</v>
      </c>
      <c r="G497" s="92" t="s">
        <v>958</v>
      </c>
      <c r="H497" s="45" t="s">
        <v>147</v>
      </c>
      <c r="I497" s="2" t="s">
        <v>31</v>
      </c>
      <c r="J497" s="101">
        <v>98300000</v>
      </c>
      <c r="K497" s="2" t="str">
        <f>'[1]გეგმა 2024'!C116</f>
        <v>სხვადასხვა მომსახურება.</v>
      </c>
      <c r="L497" s="111" t="s">
        <v>166</v>
      </c>
      <c r="M497" s="24" t="s">
        <v>999</v>
      </c>
    </row>
    <row r="498" spans="1:13" ht="157.5">
      <c r="A498" s="46">
        <v>497</v>
      </c>
      <c r="B498" s="47" t="s">
        <v>911</v>
      </c>
      <c r="C498" s="47" t="s">
        <v>237</v>
      </c>
      <c r="D498" s="48">
        <v>110</v>
      </c>
      <c r="E498" s="48">
        <f>110</f>
        <v>110</v>
      </c>
      <c r="F498" s="48">
        <f t="shared" si="8"/>
        <v>0</v>
      </c>
      <c r="G498" s="85" t="s">
        <v>958</v>
      </c>
      <c r="H498" s="50" t="s">
        <v>147</v>
      </c>
      <c r="I498" s="47" t="s">
        <v>31</v>
      </c>
      <c r="J498" s="100">
        <v>92500000</v>
      </c>
      <c r="K498" s="47" t="str">
        <f>'[1]გეგმა 2024'!C114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498" s="102" t="s">
        <v>166</v>
      </c>
      <c r="M498" s="53" t="s">
        <v>1000</v>
      </c>
    </row>
    <row r="499" spans="1:13" ht="157.5">
      <c r="A499" s="46">
        <v>498</v>
      </c>
      <c r="B499" s="47" t="s">
        <v>993</v>
      </c>
      <c r="C499" s="47" t="s">
        <v>209</v>
      </c>
      <c r="D499" s="48">
        <f>410.64</f>
        <v>410.64</v>
      </c>
      <c r="E499" s="48">
        <f>410.64</f>
        <v>410.64</v>
      </c>
      <c r="F499" s="48">
        <f t="shared" si="8"/>
        <v>0</v>
      </c>
      <c r="G499" s="85" t="s">
        <v>958</v>
      </c>
      <c r="H499" s="50" t="s">
        <v>147</v>
      </c>
      <c r="I499" s="47" t="s">
        <v>31</v>
      </c>
      <c r="J499" s="100">
        <v>55300000</v>
      </c>
      <c r="K499" s="47" t="str">
        <f>'[1]გეგმა 2024'!C62</f>
        <v xml:space="preserve">რესტორნებისა და კვების საწარმოების მომსახურეობები </v>
      </c>
      <c r="L499" s="102" t="s">
        <v>166</v>
      </c>
      <c r="M499" s="53" t="s">
        <v>1001</v>
      </c>
    </row>
    <row r="500" spans="1:13" ht="157.5">
      <c r="A500" s="46">
        <v>499</v>
      </c>
      <c r="B500" s="47" t="s">
        <v>295</v>
      </c>
      <c r="C500" s="47" t="s">
        <v>209</v>
      </c>
      <c r="D500" s="48">
        <f>237</f>
        <v>237</v>
      </c>
      <c r="E500" s="48">
        <f>237</f>
        <v>237</v>
      </c>
      <c r="F500" s="48">
        <f t="shared" si="8"/>
        <v>0</v>
      </c>
      <c r="G500" s="85" t="s">
        <v>958</v>
      </c>
      <c r="H500" s="50" t="s">
        <v>147</v>
      </c>
      <c r="I500" s="47" t="s">
        <v>31</v>
      </c>
      <c r="J500" s="100">
        <v>55300000</v>
      </c>
      <c r="K500" s="47" t="str">
        <f>'[1]გეგმა 2024'!C62</f>
        <v xml:space="preserve">რესტორნებისა და კვების საწარმოების მომსახურეობები </v>
      </c>
      <c r="L500" s="102" t="s">
        <v>166</v>
      </c>
      <c r="M500" s="53" t="s">
        <v>1002</v>
      </c>
    </row>
    <row r="501" spans="1:13" ht="157.5">
      <c r="A501" s="46">
        <v>500</v>
      </c>
      <c r="B501" s="47" t="s">
        <v>708</v>
      </c>
      <c r="C501" s="47" t="s">
        <v>209</v>
      </c>
      <c r="D501" s="48">
        <f>474.91</f>
        <v>474.91</v>
      </c>
      <c r="E501" s="48">
        <f>474.91</f>
        <v>474.91</v>
      </c>
      <c r="F501" s="48">
        <f t="shared" si="8"/>
        <v>0</v>
      </c>
      <c r="G501" s="85" t="s">
        <v>958</v>
      </c>
      <c r="H501" s="50" t="s">
        <v>147</v>
      </c>
      <c r="I501" s="47" t="s">
        <v>31</v>
      </c>
      <c r="J501" s="100">
        <v>55300000</v>
      </c>
      <c r="K501" s="47" t="str">
        <f>'[1]გეგმა 2024'!C62</f>
        <v xml:space="preserve">რესტორნებისა და კვების საწარმოების მომსახურეობები </v>
      </c>
      <c r="L501" s="102" t="s">
        <v>166</v>
      </c>
      <c r="M501" s="72" t="s">
        <v>1003</v>
      </c>
    </row>
    <row r="502" spans="1:13" ht="157.5">
      <c r="A502" s="46">
        <v>501</v>
      </c>
      <c r="B502" s="47" t="s">
        <v>1004</v>
      </c>
      <c r="C502" s="47" t="s">
        <v>207</v>
      </c>
      <c r="D502" s="48">
        <f>10485</f>
        <v>10485</v>
      </c>
      <c r="E502" s="48">
        <f>10485</f>
        <v>10485</v>
      </c>
      <c r="F502" s="48">
        <f t="shared" si="8"/>
        <v>0</v>
      </c>
      <c r="G502" s="85" t="s">
        <v>1005</v>
      </c>
      <c r="H502" s="50" t="s">
        <v>147</v>
      </c>
      <c r="I502" s="47" t="s">
        <v>31</v>
      </c>
      <c r="J502" s="100">
        <v>55300000</v>
      </c>
      <c r="K502" s="47" t="str">
        <f>'[1]გეგმა 2024'!C62</f>
        <v xml:space="preserve">რესტორნებისა და კვების საწარმოების მომსახურეობები </v>
      </c>
      <c r="L502" s="102" t="s">
        <v>166</v>
      </c>
      <c r="M502" s="53" t="s">
        <v>1006</v>
      </c>
    </row>
    <row r="503" spans="1:13" ht="157.5">
      <c r="A503" s="46">
        <v>502</v>
      </c>
      <c r="B503" s="47" t="s">
        <v>1007</v>
      </c>
      <c r="C503" s="47" t="s">
        <v>209</v>
      </c>
      <c r="D503" s="48">
        <v>1800</v>
      </c>
      <c r="E503" s="48">
        <f>1800</f>
        <v>1800</v>
      </c>
      <c r="F503" s="48">
        <f t="shared" si="8"/>
        <v>0</v>
      </c>
      <c r="G503" s="85" t="s">
        <v>1005</v>
      </c>
      <c r="H503" s="50" t="s">
        <v>147</v>
      </c>
      <c r="I503" s="47" t="s">
        <v>31</v>
      </c>
      <c r="J503" s="100">
        <v>55300000</v>
      </c>
      <c r="K503" s="47" t="str">
        <f>'[1]გეგმა 2024'!C62</f>
        <v xml:space="preserve">რესტორნებისა და კვების საწარმოების მომსახურეობები </v>
      </c>
      <c r="L503" s="102" t="s">
        <v>166</v>
      </c>
      <c r="M503" s="72" t="s">
        <v>1008</v>
      </c>
    </row>
    <row r="504" spans="1:13" ht="157.5">
      <c r="A504" s="46">
        <v>503</v>
      </c>
      <c r="B504" s="47" t="s">
        <v>1009</v>
      </c>
      <c r="C504" s="47" t="s">
        <v>209</v>
      </c>
      <c r="D504" s="48">
        <v>1500</v>
      </c>
      <c r="E504" s="48">
        <f>1500</f>
        <v>1500</v>
      </c>
      <c r="F504" s="48">
        <f t="shared" si="8"/>
        <v>0</v>
      </c>
      <c r="G504" s="85" t="s">
        <v>1005</v>
      </c>
      <c r="H504" s="50" t="s">
        <v>147</v>
      </c>
      <c r="I504" s="47" t="s">
        <v>31</v>
      </c>
      <c r="J504" s="100">
        <v>55300000</v>
      </c>
      <c r="K504" s="47" t="str">
        <f>'[1]გეგმა 2024'!C62</f>
        <v xml:space="preserve">რესტორნებისა და კვების საწარმოების მომსახურეობები </v>
      </c>
      <c r="L504" s="102" t="s">
        <v>166</v>
      </c>
      <c r="M504" s="53" t="s">
        <v>1010</v>
      </c>
    </row>
    <row r="505" spans="1:13" ht="157.5">
      <c r="A505" s="46">
        <v>504</v>
      </c>
      <c r="B505" s="47" t="s">
        <v>1011</v>
      </c>
      <c r="C505" s="47" t="s">
        <v>240</v>
      </c>
      <c r="D505" s="48">
        <v>800</v>
      </c>
      <c r="E505" s="48">
        <f>800</f>
        <v>800</v>
      </c>
      <c r="F505" s="48">
        <f t="shared" si="8"/>
        <v>0</v>
      </c>
      <c r="G505" s="85" t="s">
        <v>1005</v>
      </c>
      <c r="H505" s="50" t="s">
        <v>147</v>
      </c>
      <c r="I505" s="47" t="s">
        <v>31</v>
      </c>
      <c r="J505" s="100">
        <v>63500000</v>
      </c>
      <c r="K505" s="47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505" s="102" t="s">
        <v>166</v>
      </c>
      <c r="M505" s="72" t="s">
        <v>1012</v>
      </c>
    </row>
    <row r="506" spans="1:13" ht="157.5">
      <c r="A506" s="46">
        <v>505</v>
      </c>
      <c r="B506" s="47" t="s">
        <v>523</v>
      </c>
      <c r="C506" s="47" t="s">
        <v>188</v>
      </c>
      <c r="D506" s="48">
        <v>7330</v>
      </c>
      <c r="E506" s="48">
        <f>7330</f>
        <v>7330</v>
      </c>
      <c r="F506" s="48">
        <f t="shared" si="8"/>
        <v>0</v>
      </c>
      <c r="G506" s="85" t="s">
        <v>1005</v>
      </c>
      <c r="H506" s="50" t="s">
        <v>147</v>
      </c>
      <c r="I506" s="47" t="s">
        <v>31</v>
      </c>
      <c r="J506" s="100">
        <v>60100000</v>
      </c>
      <c r="K506" s="47" t="str">
        <f>'[1]გეგმა 2024'!C64</f>
        <v xml:space="preserve"> საავტომობილო ტრანსპორტის მომსახურებები</v>
      </c>
      <c r="L506" s="102" t="s">
        <v>166</v>
      </c>
      <c r="M506" s="72" t="s">
        <v>1013</v>
      </c>
    </row>
    <row r="507" spans="1:13" ht="303.75">
      <c r="A507" s="46">
        <v>506</v>
      </c>
      <c r="B507" s="47" t="s">
        <v>1014</v>
      </c>
      <c r="C507" s="47" t="s">
        <v>1015</v>
      </c>
      <c r="D507" s="48">
        <v>322805.2</v>
      </c>
      <c r="E507" s="48">
        <f>322805.2</f>
        <v>322805.2</v>
      </c>
      <c r="F507" s="48">
        <f t="shared" si="8"/>
        <v>0</v>
      </c>
      <c r="G507" s="85" t="s">
        <v>1016</v>
      </c>
      <c r="H507" s="50" t="s">
        <v>147</v>
      </c>
      <c r="I507" s="47" t="s">
        <v>31</v>
      </c>
      <c r="J507" s="89">
        <v>79900000</v>
      </c>
      <c r="K507" s="47" t="str">
        <f>'[1]გეგმა 2024'!C102</f>
        <v>26 მაისის ღონისძიება - ამბროლაური, მესტია</v>
      </c>
      <c r="L507" s="47" t="s">
        <v>1017</v>
      </c>
      <c r="M507" s="72" t="s">
        <v>1018</v>
      </c>
    </row>
    <row r="508" spans="1:13" ht="303.75">
      <c r="A508" s="46">
        <v>507</v>
      </c>
      <c r="B508" s="47" t="s">
        <v>1019</v>
      </c>
      <c r="C508" s="47" t="s">
        <v>1020</v>
      </c>
      <c r="D508" s="48">
        <v>330243.7</v>
      </c>
      <c r="E508" s="48">
        <f>330243.7</f>
        <v>330243.7</v>
      </c>
      <c r="F508" s="48">
        <f t="shared" si="8"/>
        <v>0</v>
      </c>
      <c r="G508" s="85" t="s">
        <v>1016</v>
      </c>
      <c r="H508" s="50" t="s">
        <v>147</v>
      </c>
      <c r="I508" s="47" t="s">
        <v>31</v>
      </c>
      <c r="J508" s="89">
        <v>79900000</v>
      </c>
      <c r="K508" s="47" t="str">
        <f>'[1]გეგმა 2024'!C102</f>
        <v>26 მაისის ღონისძიება - ამბროლაური, მესტია</v>
      </c>
      <c r="L508" s="47" t="s">
        <v>1017</v>
      </c>
      <c r="M508" s="53" t="s">
        <v>1021</v>
      </c>
    </row>
    <row r="509" spans="1:13" ht="146.25">
      <c r="A509" s="21">
        <v>508</v>
      </c>
      <c r="B509" s="2" t="s">
        <v>1022</v>
      </c>
      <c r="C509" s="2" t="s">
        <v>1023</v>
      </c>
      <c r="D509" s="22">
        <v>840</v>
      </c>
      <c r="E509" s="22"/>
      <c r="F509" s="22">
        <f t="shared" si="8"/>
        <v>840</v>
      </c>
      <c r="G509" s="92" t="s">
        <v>1016</v>
      </c>
      <c r="H509" s="45" t="s">
        <v>147</v>
      </c>
      <c r="I509" s="2" t="s">
        <v>31</v>
      </c>
      <c r="J509" s="101">
        <v>80500000</v>
      </c>
      <c r="K509" s="2" t="str">
        <f>'[1]გეგმა 2024'!C104</f>
        <v>სატრენინგო მომსახურებები</v>
      </c>
      <c r="L509" s="112" t="s">
        <v>70</v>
      </c>
      <c r="M509" s="24" t="s">
        <v>1024</v>
      </c>
    </row>
    <row r="510" spans="1:13" ht="157.5">
      <c r="A510" s="46">
        <v>509</v>
      </c>
      <c r="B510" s="47" t="s">
        <v>1025</v>
      </c>
      <c r="C510" s="47" t="s">
        <v>209</v>
      </c>
      <c r="D510" s="48">
        <v>1800</v>
      </c>
      <c r="E510" s="48">
        <f>1800</f>
        <v>1800</v>
      </c>
      <c r="F510" s="48">
        <f t="shared" si="8"/>
        <v>0</v>
      </c>
      <c r="G510" s="85" t="s">
        <v>1016</v>
      </c>
      <c r="H510" s="50" t="s">
        <v>147</v>
      </c>
      <c r="I510" s="47" t="s">
        <v>31</v>
      </c>
      <c r="J510" s="100">
        <v>55300000</v>
      </c>
      <c r="K510" s="47" t="str">
        <f>'[1]გეგმა 2024'!C62</f>
        <v xml:space="preserve">რესტორნებისა და კვების საწარმოების მომსახურეობები </v>
      </c>
      <c r="L510" s="102" t="s">
        <v>166</v>
      </c>
      <c r="M510" s="53" t="s">
        <v>1026</v>
      </c>
    </row>
    <row r="511" spans="1:13" ht="157.5">
      <c r="A511" s="46">
        <v>510</v>
      </c>
      <c r="B511" s="47" t="s">
        <v>1027</v>
      </c>
      <c r="C511" s="47" t="s">
        <v>209</v>
      </c>
      <c r="D511" s="48">
        <v>1500</v>
      </c>
      <c r="E511" s="48">
        <f>1500</f>
        <v>1500</v>
      </c>
      <c r="F511" s="48">
        <f t="shared" si="8"/>
        <v>0</v>
      </c>
      <c r="G511" s="85" t="s">
        <v>1016</v>
      </c>
      <c r="H511" s="50" t="s">
        <v>147</v>
      </c>
      <c r="I511" s="47" t="s">
        <v>31</v>
      </c>
      <c r="J511" s="100">
        <v>55300000</v>
      </c>
      <c r="K511" s="47" t="str">
        <f>'[1]გეგმა 2024'!C62</f>
        <v xml:space="preserve">რესტორნებისა და კვების საწარმოების მომსახურეობები </v>
      </c>
      <c r="L511" s="102" t="s">
        <v>166</v>
      </c>
      <c r="M511" s="72" t="s">
        <v>1028</v>
      </c>
    </row>
    <row r="512" spans="1:13" ht="157.5">
      <c r="A512" s="46">
        <v>511</v>
      </c>
      <c r="B512" s="47" t="s">
        <v>812</v>
      </c>
      <c r="C512" s="47" t="s">
        <v>209</v>
      </c>
      <c r="D512" s="48">
        <f>220.66</f>
        <v>220.66</v>
      </c>
      <c r="E512" s="48">
        <f>220.66</f>
        <v>220.66</v>
      </c>
      <c r="F512" s="48">
        <f t="shared" si="8"/>
        <v>0</v>
      </c>
      <c r="G512" s="85" t="s">
        <v>1016</v>
      </c>
      <c r="H512" s="50" t="s">
        <v>147</v>
      </c>
      <c r="I512" s="47" t="s">
        <v>31</v>
      </c>
      <c r="J512" s="100">
        <v>55300000</v>
      </c>
      <c r="K512" s="47" t="str">
        <f>'[1]გეგმა 2024'!C62</f>
        <v xml:space="preserve">რესტორნებისა და კვების საწარმოების მომსახურეობები </v>
      </c>
      <c r="L512" s="102" t="s">
        <v>166</v>
      </c>
      <c r="M512" s="53" t="s">
        <v>1029</v>
      </c>
    </row>
    <row r="513" spans="1:13" ht="157.5">
      <c r="A513" s="46">
        <v>512</v>
      </c>
      <c r="B513" s="47" t="s">
        <v>255</v>
      </c>
      <c r="C513" s="47" t="s">
        <v>209</v>
      </c>
      <c r="D513" s="48">
        <f>238</f>
        <v>238</v>
      </c>
      <c r="E513" s="48">
        <f>238</f>
        <v>238</v>
      </c>
      <c r="F513" s="48">
        <f t="shared" si="8"/>
        <v>0</v>
      </c>
      <c r="G513" s="85" t="s">
        <v>1016</v>
      </c>
      <c r="H513" s="50" t="s">
        <v>147</v>
      </c>
      <c r="I513" s="47" t="s">
        <v>31</v>
      </c>
      <c r="J513" s="100">
        <v>55300000</v>
      </c>
      <c r="K513" s="47" t="str">
        <f>'[1]გეგმა 2024'!C62</f>
        <v xml:space="preserve">რესტორნებისა და კვების საწარმოების მომსახურეობები </v>
      </c>
      <c r="L513" s="102" t="s">
        <v>166</v>
      </c>
      <c r="M513" s="53" t="s">
        <v>1030</v>
      </c>
    </row>
    <row r="514" spans="1:13" ht="146.25">
      <c r="A514" s="21">
        <v>513</v>
      </c>
      <c r="B514" s="2" t="s">
        <v>505</v>
      </c>
      <c r="C514" s="2" t="s">
        <v>506</v>
      </c>
      <c r="D514" s="22">
        <v>1335.5</v>
      </c>
      <c r="E514" s="22"/>
      <c r="F514" s="22">
        <f t="shared" si="8"/>
        <v>1335.5</v>
      </c>
      <c r="G514" s="92" t="s">
        <v>1031</v>
      </c>
      <c r="H514" s="45" t="s">
        <v>147</v>
      </c>
      <c r="I514" s="2" t="s">
        <v>31</v>
      </c>
      <c r="J514" s="101">
        <v>15300000</v>
      </c>
      <c r="K514" s="2" t="str">
        <f>'[1]გეგმა 2024'!C10</f>
        <v>ხილი, ბოსტნეული და მონათესავე პროდუქტები</v>
      </c>
      <c r="L514" s="112" t="s">
        <v>78</v>
      </c>
      <c r="M514" s="24" t="s">
        <v>1032</v>
      </c>
    </row>
    <row r="515" spans="1:13" ht="146.25">
      <c r="A515" s="21">
        <v>514</v>
      </c>
      <c r="B515" s="2" t="s">
        <v>505</v>
      </c>
      <c r="C515" s="2" t="s">
        <v>1033</v>
      </c>
      <c r="D515" s="22">
        <v>25</v>
      </c>
      <c r="E515" s="22"/>
      <c r="F515" s="22">
        <f t="shared" si="8"/>
        <v>25</v>
      </c>
      <c r="G515" s="92" t="s">
        <v>1031</v>
      </c>
      <c r="H515" s="45" t="s">
        <v>147</v>
      </c>
      <c r="I515" s="2" t="s">
        <v>31</v>
      </c>
      <c r="J515" s="113" t="s">
        <v>1034</v>
      </c>
      <c r="K515" s="2" t="str">
        <f>'[1]გეგმა 2024'!C7</f>
        <v>თხილეული</v>
      </c>
      <c r="L515" s="112" t="s">
        <v>78</v>
      </c>
      <c r="M515" s="24" t="s">
        <v>1035</v>
      </c>
    </row>
    <row r="516" spans="1:13" ht="157.5">
      <c r="A516" s="21">
        <v>515</v>
      </c>
      <c r="B516" s="2" t="s">
        <v>1036</v>
      </c>
      <c r="C516" s="2" t="s">
        <v>613</v>
      </c>
      <c r="D516" s="22">
        <v>35</v>
      </c>
      <c r="E516" s="22"/>
      <c r="F516" s="22">
        <f t="shared" si="8"/>
        <v>35</v>
      </c>
      <c r="G516" s="92" t="s">
        <v>1031</v>
      </c>
      <c r="H516" s="45" t="s">
        <v>147</v>
      </c>
      <c r="I516" s="2" t="s">
        <v>31</v>
      </c>
      <c r="J516" s="101">
        <v>15800000</v>
      </c>
      <c r="K516" s="2" t="str">
        <f>'[1]გეგმა 2024'!C12</f>
        <v>სხვადასხვა საკვები პროდუქტი</v>
      </c>
      <c r="L516" s="112" t="s">
        <v>166</v>
      </c>
      <c r="M516" s="98" t="s">
        <v>1037</v>
      </c>
    </row>
    <row r="517" spans="1:13" ht="157.5">
      <c r="A517" s="46">
        <v>517</v>
      </c>
      <c r="B517" s="47" t="s">
        <v>1040</v>
      </c>
      <c r="C517" s="47" t="s">
        <v>209</v>
      </c>
      <c r="D517" s="48">
        <v>195.25</v>
      </c>
      <c r="E517" s="48">
        <v>195.25</v>
      </c>
      <c r="F517" s="48">
        <f t="shared" si="8"/>
        <v>0</v>
      </c>
      <c r="G517" s="85" t="s">
        <v>1031</v>
      </c>
      <c r="H517" s="50" t="s">
        <v>147</v>
      </c>
      <c r="I517" s="47" t="s">
        <v>31</v>
      </c>
      <c r="J517" s="100">
        <v>55300000</v>
      </c>
      <c r="K517" s="47" t="str">
        <f>'[1]გეგმა 2024'!C62</f>
        <v xml:space="preserve">რესტორნებისა და კვების საწარმოების მომსახურეობები </v>
      </c>
      <c r="L517" s="55" t="s">
        <v>166</v>
      </c>
      <c r="M517" s="53" t="s">
        <v>1041</v>
      </c>
    </row>
    <row r="518" spans="1:13" ht="157.5">
      <c r="A518" s="46">
        <v>518</v>
      </c>
      <c r="B518" s="47" t="s">
        <v>502</v>
      </c>
      <c r="C518" s="47" t="s">
        <v>209</v>
      </c>
      <c r="D518" s="48">
        <v>1500</v>
      </c>
      <c r="E518" s="48">
        <f>1500</f>
        <v>1500</v>
      </c>
      <c r="F518" s="48">
        <f t="shared" si="8"/>
        <v>0</v>
      </c>
      <c r="G518" s="85" t="s">
        <v>1031</v>
      </c>
      <c r="H518" s="50" t="s">
        <v>147</v>
      </c>
      <c r="I518" s="47" t="s">
        <v>31</v>
      </c>
      <c r="J518" s="100">
        <v>55300000</v>
      </c>
      <c r="K518" s="47" t="str">
        <f>'[1]გეგმა 2024'!C62</f>
        <v xml:space="preserve">რესტორნებისა და კვების საწარმოების მომსახურეობები </v>
      </c>
      <c r="L518" s="55" t="s">
        <v>166</v>
      </c>
      <c r="M518" s="53" t="s">
        <v>1042</v>
      </c>
    </row>
    <row r="519" spans="1:13" ht="157.5">
      <c r="A519" s="46">
        <v>519</v>
      </c>
      <c r="B519" s="47" t="s">
        <v>1043</v>
      </c>
      <c r="C519" s="47" t="s">
        <v>209</v>
      </c>
      <c r="D519" s="48">
        <v>1800</v>
      </c>
      <c r="E519" s="48">
        <f>1800</f>
        <v>1800</v>
      </c>
      <c r="F519" s="48">
        <f t="shared" si="8"/>
        <v>0</v>
      </c>
      <c r="G519" s="85" t="s">
        <v>1031</v>
      </c>
      <c r="H519" s="50" t="s">
        <v>147</v>
      </c>
      <c r="I519" s="47" t="s">
        <v>31</v>
      </c>
      <c r="J519" s="100">
        <v>55300000</v>
      </c>
      <c r="K519" s="47" t="str">
        <f>'[1]გეგმა 2024'!C62</f>
        <v xml:space="preserve">რესტორნებისა და კვების საწარმოების მომსახურეობები </v>
      </c>
      <c r="L519" s="55" t="s">
        <v>166</v>
      </c>
      <c r="M519" s="53" t="s">
        <v>1044</v>
      </c>
    </row>
    <row r="520" spans="1:13" ht="123.75">
      <c r="A520" s="46">
        <v>520</v>
      </c>
      <c r="B520" s="47" t="s">
        <v>87</v>
      </c>
      <c r="C520" s="47" t="s">
        <v>969</v>
      </c>
      <c r="D520" s="48">
        <v>134</v>
      </c>
      <c r="E520" s="48">
        <f>134</f>
        <v>134</v>
      </c>
      <c r="F520" s="48">
        <f t="shared" si="8"/>
        <v>0</v>
      </c>
      <c r="G520" s="85" t="s">
        <v>1045</v>
      </c>
      <c r="H520" s="50" t="s">
        <v>147</v>
      </c>
      <c r="I520" s="47" t="s">
        <v>17</v>
      </c>
      <c r="J520" s="89">
        <v>31400000</v>
      </c>
      <c r="K520" s="47" t="str">
        <f>'[1]გეგმა 2024'!C29</f>
        <v> აკუმულატორები, დენის პირველადი წყაროები და პირველადი ელემენტები.</v>
      </c>
      <c r="L520" s="47"/>
      <c r="M520" s="53"/>
    </row>
    <row r="521" spans="1:13" ht="146.25">
      <c r="A521" s="21">
        <v>521</v>
      </c>
      <c r="B521" s="2" t="s">
        <v>53</v>
      </c>
      <c r="C521" s="2" t="s">
        <v>1046</v>
      </c>
      <c r="D521" s="22">
        <v>4495.8</v>
      </c>
      <c r="E521" s="22">
        <f>228.92</f>
        <v>228.92</v>
      </c>
      <c r="F521" s="22">
        <f t="shared" si="8"/>
        <v>4266.88</v>
      </c>
      <c r="G521" s="92" t="s">
        <v>1045</v>
      </c>
      <c r="H521" s="45" t="s">
        <v>147</v>
      </c>
      <c r="I521" s="2" t="s">
        <v>31</v>
      </c>
      <c r="J521" s="101">
        <v>48200000</v>
      </c>
      <c r="K521" s="2" t="str">
        <f>'[1]გეგმა 2024'!C48</f>
        <v>ქსელების, ინტერნეტისა და ინტრანეტის პროგრამული პაკეტები</v>
      </c>
      <c r="L521" s="111" t="s">
        <v>70</v>
      </c>
      <c r="M521" s="24" t="s">
        <v>1047</v>
      </c>
    </row>
    <row r="522" spans="1:13" ht="303.75">
      <c r="A522" s="46">
        <v>522</v>
      </c>
      <c r="B522" s="114" t="s">
        <v>1048</v>
      </c>
      <c r="C522" s="47" t="s">
        <v>1049</v>
      </c>
      <c r="D522" s="48">
        <v>119115.81</v>
      </c>
      <c r="E522" s="48">
        <f>119115.81</f>
        <v>119115.81</v>
      </c>
      <c r="F522" s="48">
        <f t="shared" si="8"/>
        <v>0</v>
      </c>
      <c r="G522" s="85" t="s">
        <v>1050</v>
      </c>
      <c r="H522" s="50" t="s">
        <v>147</v>
      </c>
      <c r="I522" s="47" t="s">
        <v>31</v>
      </c>
      <c r="J522" s="89">
        <v>39100000</v>
      </c>
      <c r="K522" s="47" t="str">
        <f>'[1]გეგმა 2024'!C36</f>
        <v>ავეჯი (სტენდები)</v>
      </c>
      <c r="L522" s="47" t="s">
        <v>108</v>
      </c>
      <c r="M522" s="72" t="s">
        <v>1051</v>
      </c>
    </row>
    <row r="523" spans="1:13" ht="157.5">
      <c r="A523" s="46">
        <v>523</v>
      </c>
      <c r="B523" s="114" t="s">
        <v>418</v>
      </c>
      <c r="C523" s="47" t="s">
        <v>188</v>
      </c>
      <c r="D523" s="48">
        <v>1725</v>
      </c>
      <c r="E523" s="48">
        <f>1725</f>
        <v>1725</v>
      </c>
      <c r="F523" s="48">
        <f t="shared" si="8"/>
        <v>0</v>
      </c>
      <c r="G523" s="85" t="s">
        <v>1050</v>
      </c>
      <c r="H523" s="50" t="s">
        <v>147</v>
      </c>
      <c r="I523" s="47" t="s">
        <v>31</v>
      </c>
      <c r="J523" s="100">
        <v>60100000</v>
      </c>
      <c r="K523" s="47" t="str">
        <f>'[1]გეგმა 2024'!C64</f>
        <v xml:space="preserve"> საავტომობილო ტრანსპორტის მომსახურებები</v>
      </c>
      <c r="L523" s="55" t="s">
        <v>166</v>
      </c>
      <c r="M523" s="53" t="s">
        <v>1052</v>
      </c>
    </row>
    <row r="524" spans="1:13" ht="157.5">
      <c r="A524" s="46">
        <v>524</v>
      </c>
      <c r="B524" s="47" t="s">
        <v>1053</v>
      </c>
      <c r="C524" s="47" t="s">
        <v>209</v>
      </c>
      <c r="D524" s="48">
        <f>501</f>
        <v>501</v>
      </c>
      <c r="E524" s="48">
        <f>501</f>
        <v>501</v>
      </c>
      <c r="F524" s="48">
        <f t="shared" si="8"/>
        <v>0</v>
      </c>
      <c r="G524" s="85" t="s">
        <v>1050</v>
      </c>
      <c r="H524" s="50" t="s">
        <v>147</v>
      </c>
      <c r="I524" s="47" t="s">
        <v>31</v>
      </c>
      <c r="J524" s="100">
        <v>55300000</v>
      </c>
      <c r="K524" s="47" t="str">
        <f>'[1]გეგმა 2024'!C62</f>
        <v xml:space="preserve">რესტორნებისა და კვების საწარმოების მომსახურეობები </v>
      </c>
      <c r="L524" s="55" t="s">
        <v>166</v>
      </c>
      <c r="M524" s="53" t="s">
        <v>1054</v>
      </c>
    </row>
    <row r="525" spans="1:13" ht="146.25">
      <c r="A525" s="46">
        <v>525</v>
      </c>
      <c r="B525" s="47" t="s">
        <v>434</v>
      </c>
      <c r="C525" s="47" t="s">
        <v>435</v>
      </c>
      <c r="D525" s="48">
        <v>408</v>
      </c>
      <c r="E525" s="48">
        <f>408</f>
        <v>408</v>
      </c>
      <c r="F525" s="48">
        <f t="shared" si="8"/>
        <v>0</v>
      </c>
      <c r="G525" s="85" t="s">
        <v>1055</v>
      </c>
      <c r="H525" s="50" t="s">
        <v>147</v>
      </c>
      <c r="I525" s="47" t="s">
        <v>31</v>
      </c>
      <c r="J525" s="100">
        <v>41100000</v>
      </c>
      <c r="K525" s="47" t="str">
        <f>'[1]გეგმა 2024'!C41</f>
        <v>სასმელი წყალი</v>
      </c>
      <c r="L525" s="102" t="s">
        <v>70</v>
      </c>
      <c r="M525" s="53" t="s">
        <v>1056</v>
      </c>
    </row>
    <row r="526" spans="1:13" ht="146.25">
      <c r="A526" s="21">
        <v>526</v>
      </c>
      <c r="B526" s="2" t="s">
        <v>1057</v>
      </c>
      <c r="C526" s="2" t="s">
        <v>1058</v>
      </c>
      <c r="D526" s="22">
        <v>118</v>
      </c>
      <c r="E526" s="22"/>
      <c r="F526" s="22">
        <f t="shared" si="8"/>
        <v>118</v>
      </c>
      <c r="G526" s="92" t="s">
        <v>1055</v>
      </c>
      <c r="H526" s="45" t="s">
        <v>147</v>
      </c>
      <c r="I526" s="2" t="s">
        <v>31</v>
      </c>
      <c r="J526" s="101">
        <v>48400000</v>
      </c>
      <c r="K526" s="2" t="str">
        <f>'[1]გეგმა 2024'!C49</f>
        <v> საქმიანი გარიგებებისა და პირადი საქმეების მართვის პროგრამული პაკეტები</v>
      </c>
      <c r="L526" s="111" t="s">
        <v>70</v>
      </c>
      <c r="M526" s="24" t="s">
        <v>1059</v>
      </c>
    </row>
    <row r="527" spans="1:13" ht="157.5">
      <c r="A527" s="46">
        <v>527</v>
      </c>
      <c r="B527" s="47" t="s">
        <v>284</v>
      </c>
      <c r="C527" s="47" t="s">
        <v>188</v>
      </c>
      <c r="D527" s="48">
        <v>6100</v>
      </c>
      <c r="E527" s="48">
        <f>6100</f>
        <v>6100</v>
      </c>
      <c r="F527" s="48">
        <f t="shared" si="8"/>
        <v>0</v>
      </c>
      <c r="G527" s="85" t="s">
        <v>1055</v>
      </c>
      <c r="H527" s="50" t="s">
        <v>147</v>
      </c>
      <c r="I527" s="47" t="s">
        <v>31</v>
      </c>
      <c r="J527" s="100">
        <v>60100000</v>
      </c>
      <c r="K527" s="47" t="str">
        <f>'[1]გეგმა 2024'!C64</f>
        <v xml:space="preserve"> საავტომობილო ტრანსპორტის მომსახურებები</v>
      </c>
      <c r="L527" s="55" t="s">
        <v>166</v>
      </c>
      <c r="M527" s="53" t="s">
        <v>1060</v>
      </c>
    </row>
    <row r="528" spans="1:13" ht="157.5">
      <c r="A528" s="46">
        <v>528</v>
      </c>
      <c r="B528" s="47" t="s">
        <v>206</v>
      </c>
      <c r="C528" s="47" t="s">
        <v>207</v>
      </c>
      <c r="D528" s="48">
        <v>2700</v>
      </c>
      <c r="E528" s="48">
        <f>2700</f>
        <v>2700</v>
      </c>
      <c r="F528" s="48">
        <f t="shared" si="8"/>
        <v>0</v>
      </c>
      <c r="G528" s="85" t="s">
        <v>1055</v>
      </c>
      <c r="H528" s="50" t="s">
        <v>147</v>
      </c>
      <c r="I528" s="47" t="s">
        <v>31</v>
      </c>
      <c r="J528" s="51">
        <v>55100000</v>
      </c>
      <c r="K528" s="47" t="str">
        <f>'[1]გეგმა 2024'!C59</f>
        <v>სასტუმროს მომსახურება</v>
      </c>
      <c r="L528" s="55" t="s">
        <v>166</v>
      </c>
      <c r="M528" s="53" t="s">
        <v>1061</v>
      </c>
    </row>
    <row r="529" spans="1:13" ht="157.5">
      <c r="A529" s="46">
        <v>529</v>
      </c>
      <c r="B529" s="47" t="s">
        <v>211</v>
      </c>
      <c r="C529" s="47" t="s">
        <v>209</v>
      </c>
      <c r="D529" s="48">
        <f>576.24</f>
        <v>576.24</v>
      </c>
      <c r="E529" s="48">
        <f>576.24</f>
        <v>576.24</v>
      </c>
      <c r="F529" s="48">
        <f t="shared" si="8"/>
        <v>0</v>
      </c>
      <c r="G529" s="85" t="s">
        <v>1055</v>
      </c>
      <c r="H529" s="50" t="s">
        <v>147</v>
      </c>
      <c r="I529" s="47" t="s">
        <v>31</v>
      </c>
      <c r="J529" s="100">
        <v>55300000</v>
      </c>
      <c r="K529" s="47" t="str">
        <f>'[1]გეგმა 2024'!C62</f>
        <v xml:space="preserve">რესტორნებისა და კვების საწარმოების მომსახურეობები </v>
      </c>
      <c r="L529" s="55" t="s">
        <v>166</v>
      </c>
      <c r="M529" s="53" t="s">
        <v>1062</v>
      </c>
    </row>
    <row r="530" spans="1:13" ht="157.5">
      <c r="A530" s="46">
        <v>530</v>
      </c>
      <c r="B530" s="47" t="s">
        <v>206</v>
      </c>
      <c r="C530" s="47" t="s">
        <v>209</v>
      </c>
      <c r="D530" s="48">
        <v>2200</v>
      </c>
      <c r="E530" s="48">
        <f>2200</f>
        <v>2200</v>
      </c>
      <c r="F530" s="48">
        <f t="shared" si="8"/>
        <v>0</v>
      </c>
      <c r="G530" s="85" t="s">
        <v>1055</v>
      </c>
      <c r="H530" s="50" t="s">
        <v>147</v>
      </c>
      <c r="I530" s="47" t="s">
        <v>31</v>
      </c>
      <c r="J530" s="100">
        <v>55300000</v>
      </c>
      <c r="K530" s="47" t="str">
        <f>'[1]გეგმა 2024'!C62</f>
        <v xml:space="preserve">რესტორნებისა და კვების საწარმოების მომსახურეობები </v>
      </c>
      <c r="L530" s="55" t="s">
        <v>166</v>
      </c>
      <c r="M530" s="53" t="s">
        <v>1063</v>
      </c>
    </row>
    <row r="531" spans="1:13" ht="157.5">
      <c r="A531" s="46">
        <v>531</v>
      </c>
      <c r="B531" s="47" t="s">
        <v>1064</v>
      </c>
      <c r="C531" s="47" t="s">
        <v>207</v>
      </c>
      <c r="D531" s="48">
        <v>1000</v>
      </c>
      <c r="E531" s="48">
        <f>1000</f>
        <v>1000</v>
      </c>
      <c r="F531" s="48">
        <f t="shared" si="8"/>
        <v>0</v>
      </c>
      <c r="G531" s="85" t="s">
        <v>1055</v>
      </c>
      <c r="H531" s="50" t="s">
        <v>147</v>
      </c>
      <c r="I531" s="47" t="s">
        <v>31</v>
      </c>
      <c r="J531" s="51">
        <v>55100000</v>
      </c>
      <c r="K531" s="47" t="str">
        <f>'[1]გეგმა 2024'!C59</f>
        <v>სასტუმროს მომსახურება</v>
      </c>
      <c r="L531" s="55" t="s">
        <v>166</v>
      </c>
      <c r="M531" s="55" t="s">
        <v>1065</v>
      </c>
    </row>
    <row r="532" spans="1:13" ht="157.5">
      <c r="A532" s="46">
        <v>532</v>
      </c>
      <c r="B532" s="47" t="s">
        <v>1064</v>
      </c>
      <c r="C532" s="47" t="s">
        <v>209</v>
      </c>
      <c r="D532" s="48">
        <v>701</v>
      </c>
      <c r="E532" s="48">
        <f>701</f>
        <v>701</v>
      </c>
      <c r="F532" s="48">
        <f t="shared" si="8"/>
        <v>0</v>
      </c>
      <c r="G532" s="85" t="s">
        <v>1055</v>
      </c>
      <c r="H532" s="50" t="s">
        <v>147</v>
      </c>
      <c r="I532" s="47" t="s">
        <v>31</v>
      </c>
      <c r="J532" s="100">
        <v>55300000</v>
      </c>
      <c r="K532" s="47" t="str">
        <f>'[1]გეგმა 2024'!C62</f>
        <v xml:space="preserve">რესტორნებისა და კვების საწარმოების მომსახურეობები </v>
      </c>
      <c r="L532" s="55" t="s">
        <v>166</v>
      </c>
      <c r="M532" s="53" t="s">
        <v>1066</v>
      </c>
    </row>
    <row r="533" spans="1:13" ht="157.5">
      <c r="A533" s="46">
        <v>533</v>
      </c>
      <c r="B533" s="47" t="s">
        <v>1067</v>
      </c>
      <c r="C533" s="47" t="s">
        <v>188</v>
      </c>
      <c r="D533" s="48">
        <v>2070</v>
      </c>
      <c r="E533" s="48">
        <f>2070</f>
        <v>2070</v>
      </c>
      <c r="F533" s="48">
        <f t="shared" si="8"/>
        <v>0</v>
      </c>
      <c r="G533" s="85" t="s">
        <v>1055</v>
      </c>
      <c r="H533" s="50" t="s">
        <v>147</v>
      </c>
      <c r="I533" s="47" t="s">
        <v>31</v>
      </c>
      <c r="J533" s="100">
        <v>60100000</v>
      </c>
      <c r="K533" s="47" t="str">
        <f>'[1]გეგმა 2024'!C64</f>
        <v xml:space="preserve"> საავტომობილო ტრანსპორტის მომსახურებები</v>
      </c>
      <c r="L533" s="55" t="s">
        <v>166</v>
      </c>
      <c r="M533" s="53" t="s">
        <v>1068</v>
      </c>
    </row>
    <row r="534" spans="1:13" ht="303.75">
      <c r="A534" s="21">
        <v>534</v>
      </c>
      <c r="B534" s="2" t="s">
        <v>1069</v>
      </c>
      <c r="C534" s="2" t="s">
        <v>1070</v>
      </c>
      <c r="D534" s="22">
        <v>65096.38</v>
      </c>
      <c r="E534" s="22"/>
      <c r="F534" s="22">
        <f t="shared" si="8"/>
        <v>65096.38</v>
      </c>
      <c r="G534" s="92" t="s">
        <v>1071</v>
      </c>
      <c r="H534" s="45" t="s">
        <v>147</v>
      </c>
      <c r="I534" s="2" t="s">
        <v>31</v>
      </c>
      <c r="J534" s="93">
        <v>80500000</v>
      </c>
      <c r="K534" s="2" t="str">
        <f>'[1]გეგმა 2024'!C103</f>
        <v>სატრენინგო მომსახურებები.</v>
      </c>
      <c r="L534" s="2" t="s">
        <v>108</v>
      </c>
      <c r="M534" s="24" t="s">
        <v>1072</v>
      </c>
    </row>
    <row r="535" spans="1:13" ht="157.5">
      <c r="A535" s="46">
        <v>535</v>
      </c>
      <c r="B535" s="47" t="s">
        <v>200</v>
      </c>
      <c r="C535" s="47" t="s">
        <v>165</v>
      </c>
      <c r="D535" s="48">
        <v>4051</v>
      </c>
      <c r="E535" s="48">
        <f>4051</f>
        <v>4051</v>
      </c>
      <c r="F535" s="48">
        <f t="shared" si="8"/>
        <v>0</v>
      </c>
      <c r="G535" s="85" t="s">
        <v>1071</v>
      </c>
      <c r="H535" s="50" t="s">
        <v>147</v>
      </c>
      <c r="I535" s="47" t="s">
        <v>31</v>
      </c>
      <c r="J535" s="100">
        <v>60400000</v>
      </c>
      <c r="K535" s="47" t="str">
        <f>'[1]გეგმა 2024'!C65</f>
        <v>საჰაერო ტრანსპორტის მომსახურებები</v>
      </c>
      <c r="L535" s="55" t="s">
        <v>166</v>
      </c>
      <c r="M535" s="53" t="s">
        <v>1073</v>
      </c>
    </row>
    <row r="536" spans="1:13" ht="157.5">
      <c r="A536" s="46">
        <v>536</v>
      </c>
      <c r="B536" s="47" t="s">
        <v>198</v>
      </c>
      <c r="C536" s="47" t="s">
        <v>165</v>
      </c>
      <c r="D536" s="48">
        <v>3353</v>
      </c>
      <c r="E536" s="48">
        <f>3353</f>
        <v>3353</v>
      </c>
      <c r="F536" s="48">
        <f t="shared" si="8"/>
        <v>0</v>
      </c>
      <c r="G536" s="85" t="s">
        <v>1071</v>
      </c>
      <c r="H536" s="50" t="s">
        <v>147</v>
      </c>
      <c r="I536" s="47" t="s">
        <v>31</v>
      </c>
      <c r="J536" s="100">
        <v>60400000</v>
      </c>
      <c r="K536" s="47" t="str">
        <f>'[1]გეგმა 2024'!C65</f>
        <v>საჰაერო ტრანსპორტის მომსახურებები</v>
      </c>
      <c r="L536" s="55" t="s">
        <v>166</v>
      </c>
      <c r="M536" s="53" t="s">
        <v>1074</v>
      </c>
    </row>
    <row r="537" spans="1:13" ht="157.5">
      <c r="A537" s="46">
        <v>537</v>
      </c>
      <c r="B537" s="47" t="s">
        <v>164</v>
      </c>
      <c r="C537" s="47" t="s">
        <v>165</v>
      </c>
      <c r="D537" s="48">
        <v>2536</v>
      </c>
      <c r="E537" s="48">
        <f>2536</f>
        <v>2536</v>
      </c>
      <c r="F537" s="48">
        <f t="shared" si="8"/>
        <v>0</v>
      </c>
      <c r="G537" s="85" t="s">
        <v>1071</v>
      </c>
      <c r="H537" s="50" t="s">
        <v>147</v>
      </c>
      <c r="I537" s="47" t="s">
        <v>31</v>
      </c>
      <c r="J537" s="100">
        <v>60400000</v>
      </c>
      <c r="K537" s="47" t="str">
        <f>'[1]გეგმა 2024'!C65</f>
        <v>საჰაერო ტრანსპორტის მომსახურებები</v>
      </c>
      <c r="L537" s="55" t="s">
        <v>166</v>
      </c>
      <c r="M537" s="53" t="s">
        <v>1075</v>
      </c>
    </row>
    <row r="538" spans="1:13" ht="146.25">
      <c r="A538" s="46">
        <v>538</v>
      </c>
      <c r="B538" s="47" t="s">
        <v>1038</v>
      </c>
      <c r="C538" s="47" t="s">
        <v>1039</v>
      </c>
      <c r="D538" s="48">
        <v>4600</v>
      </c>
      <c r="E538" s="48">
        <f>4600</f>
        <v>4600</v>
      </c>
      <c r="F538" s="48">
        <f t="shared" si="8"/>
        <v>0</v>
      </c>
      <c r="G538" s="85" t="s">
        <v>1071</v>
      </c>
      <c r="H538" s="50" t="s">
        <v>147</v>
      </c>
      <c r="I538" s="47" t="s">
        <v>31</v>
      </c>
      <c r="J538" s="100">
        <v>71300000</v>
      </c>
      <c r="K538" s="47" t="str">
        <f>'[1]გეგმა 2024'!C78</f>
        <v>საინჟინრო მომსახურებები</v>
      </c>
      <c r="L538" s="55" t="s">
        <v>70</v>
      </c>
      <c r="M538" s="53" t="s">
        <v>1076</v>
      </c>
    </row>
    <row r="539" spans="1:13" ht="146.25">
      <c r="A539" s="21">
        <v>539</v>
      </c>
      <c r="B539" s="2" t="s">
        <v>1022</v>
      </c>
      <c r="C539" s="2" t="s">
        <v>1070</v>
      </c>
      <c r="D539" s="22">
        <v>420</v>
      </c>
      <c r="E539" s="22"/>
      <c r="F539" s="22">
        <f t="shared" si="8"/>
        <v>420</v>
      </c>
      <c r="G539" s="92" t="s">
        <v>1077</v>
      </c>
      <c r="H539" s="45" t="s">
        <v>147</v>
      </c>
      <c r="I539" s="2" t="s">
        <v>31</v>
      </c>
      <c r="J539" s="101">
        <v>80500000</v>
      </c>
      <c r="K539" s="2" t="str">
        <f>'[1]გეგმა 2024'!C104</f>
        <v>სატრენინგო მომსახურებები</v>
      </c>
      <c r="L539" s="112" t="s">
        <v>70</v>
      </c>
      <c r="M539" s="24" t="s">
        <v>1078</v>
      </c>
    </row>
    <row r="540" spans="1:13" ht="157.5">
      <c r="A540" s="46">
        <v>540</v>
      </c>
      <c r="B540" s="47" t="s">
        <v>298</v>
      </c>
      <c r="C540" s="47" t="s">
        <v>207</v>
      </c>
      <c r="D540" s="48">
        <v>1540</v>
      </c>
      <c r="E540" s="48">
        <f>1540</f>
        <v>1540</v>
      </c>
      <c r="F540" s="48">
        <f t="shared" si="8"/>
        <v>0</v>
      </c>
      <c r="G540" s="85" t="s">
        <v>1077</v>
      </c>
      <c r="H540" s="50" t="s">
        <v>147</v>
      </c>
      <c r="I540" s="47" t="s">
        <v>31</v>
      </c>
      <c r="J540" s="51">
        <v>55100000</v>
      </c>
      <c r="K540" s="47" t="str">
        <f>'[1]გეგმა 2024'!C59</f>
        <v>სასტუმროს მომსახურება</v>
      </c>
      <c r="L540" s="55" t="s">
        <v>166</v>
      </c>
      <c r="M540" s="53" t="s">
        <v>1079</v>
      </c>
    </row>
    <row r="541" spans="1:13" ht="28.5" customHeight="1">
      <c r="A541" s="21">
        <v>541</v>
      </c>
      <c r="B541" s="115" t="s">
        <v>1080</v>
      </c>
      <c r="C541" s="116" t="s">
        <v>1081</v>
      </c>
      <c r="D541" s="22">
        <v>336000</v>
      </c>
      <c r="E541" s="22">
        <f>165853.68</f>
        <v>165853.68</v>
      </c>
      <c r="F541" s="22">
        <f t="shared" si="8"/>
        <v>170146.32</v>
      </c>
      <c r="G541" s="92" t="s">
        <v>1082</v>
      </c>
      <c r="H541" s="45" t="s">
        <v>147</v>
      </c>
      <c r="I541" s="2" t="s">
        <v>31</v>
      </c>
      <c r="J541" s="93">
        <v>39100000</v>
      </c>
      <c r="K541" s="2" t="str">
        <f>'[1]გეგმა 2024'!C36</f>
        <v>ავეჯი (სტენდები)</v>
      </c>
      <c r="L541" s="37" t="s">
        <v>108</v>
      </c>
      <c r="M541" s="24" t="s">
        <v>1083</v>
      </c>
    </row>
    <row r="542" spans="1:13" ht="69" customHeight="1">
      <c r="A542" s="46">
        <v>543</v>
      </c>
      <c r="B542" s="47" t="s">
        <v>434</v>
      </c>
      <c r="C542" s="47" t="s">
        <v>687</v>
      </c>
      <c r="D542" s="48">
        <v>95</v>
      </c>
      <c r="E542" s="48">
        <f>95</f>
        <v>95</v>
      </c>
      <c r="F542" s="48">
        <f t="shared" si="8"/>
        <v>0</v>
      </c>
      <c r="G542" s="85" t="s">
        <v>1082</v>
      </c>
      <c r="H542" s="50" t="s">
        <v>147</v>
      </c>
      <c r="I542" s="47" t="s">
        <v>31</v>
      </c>
      <c r="J542" s="100">
        <v>39200000</v>
      </c>
      <c r="K542" s="47" t="str">
        <f>'[1]გეგმა 2024'!C37</f>
        <v>ჭიქები</v>
      </c>
      <c r="L542" s="55" t="s">
        <v>166</v>
      </c>
      <c r="M542" s="53" t="s">
        <v>1084</v>
      </c>
    </row>
    <row r="543" spans="1:13" ht="39" customHeight="1">
      <c r="A543" s="46">
        <v>544</v>
      </c>
      <c r="B543" s="47" t="s">
        <v>200</v>
      </c>
      <c r="C543" s="47" t="s">
        <v>165</v>
      </c>
      <c r="D543" s="48">
        <v>21436</v>
      </c>
      <c r="E543" s="48">
        <f>21436</f>
        <v>21436</v>
      </c>
      <c r="F543" s="48">
        <f t="shared" si="8"/>
        <v>0</v>
      </c>
      <c r="G543" s="85" t="s">
        <v>1082</v>
      </c>
      <c r="H543" s="50" t="s">
        <v>147</v>
      </c>
      <c r="I543" s="47" t="s">
        <v>31</v>
      </c>
      <c r="J543" s="100">
        <v>60400000</v>
      </c>
      <c r="K543" s="47" t="str">
        <f>'[1]გეგმა 2024'!C65</f>
        <v>საჰაერო ტრანსპორტის მომსახურებები</v>
      </c>
      <c r="L543" s="55" t="s">
        <v>166</v>
      </c>
      <c r="M543" s="53" t="s">
        <v>1085</v>
      </c>
    </row>
    <row r="544" spans="1:13" ht="55.5" customHeight="1">
      <c r="A544" s="46">
        <v>545</v>
      </c>
      <c r="B544" s="47" t="s">
        <v>198</v>
      </c>
      <c r="C544" s="47" t="s">
        <v>165</v>
      </c>
      <c r="D544" s="48">
        <v>3833.4</v>
      </c>
      <c r="E544" s="48">
        <f>3833.4</f>
        <v>3833.4</v>
      </c>
      <c r="F544" s="48">
        <f t="shared" si="8"/>
        <v>0</v>
      </c>
      <c r="G544" s="85" t="s">
        <v>1082</v>
      </c>
      <c r="H544" s="50" t="s">
        <v>147</v>
      </c>
      <c r="I544" s="47" t="s">
        <v>31</v>
      </c>
      <c r="J544" s="100">
        <v>60400000</v>
      </c>
      <c r="K544" s="47" t="str">
        <f>'[1]გეგმა 2024'!C65</f>
        <v>საჰაერო ტრანსპორტის მომსახურებები</v>
      </c>
      <c r="L544" s="55" t="s">
        <v>166</v>
      </c>
      <c r="M544" s="53" t="s">
        <v>1086</v>
      </c>
    </row>
    <row r="545" spans="1:13" ht="54" customHeight="1">
      <c r="A545" s="46">
        <v>546</v>
      </c>
      <c r="B545" s="47" t="s">
        <v>164</v>
      </c>
      <c r="C545" s="47" t="s">
        <v>165</v>
      </c>
      <c r="D545" s="48">
        <v>6340</v>
      </c>
      <c r="E545" s="48">
        <v>6340</v>
      </c>
      <c r="F545" s="48">
        <f t="shared" si="8"/>
        <v>0</v>
      </c>
      <c r="G545" s="85" t="s">
        <v>1082</v>
      </c>
      <c r="H545" s="50" t="s">
        <v>147</v>
      </c>
      <c r="I545" s="47" t="s">
        <v>31</v>
      </c>
      <c r="J545" s="100">
        <v>60400000</v>
      </c>
      <c r="K545" s="47" t="str">
        <f>'[1]გეგმა 2024'!C65</f>
        <v>საჰაერო ტრანსპორტის მომსახურებები</v>
      </c>
      <c r="L545" s="55" t="s">
        <v>166</v>
      </c>
      <c r="M545" s="53" t="s">
        <v>1087</v>
      </c>
    </row>
    <row r="546" spans="1:13" ht="39.75" customHeight="1">
      <c r="A546" s="46">
        <v>547</v>
      </c>
      <c r="B546" s="47" t="s">
        <v>171</v>
      </c>
      <c r="C546" s="47" t="s">
        <v>172</v>
      </c>
      <c r="D546" s="48">
        <v>167.9</v>
      </c>
      <c r="E546" s="48">
        <f>167.9</f>
        <v>167.9</v>
      </c>
      <c r="F546" s="48">
        <f t="shared" si="8"/>
        <v>0</v>
      </c>
      <c r="G546" s="85" t="s">
        <v>1088</v>
      </c>
      <c r="H546" s="50" t="s">
        <v>147</v>
      </c>
      <c r="I546" s="47" t="s">
        <v>31</v>
      </c>
      <c r="J546" s="100">
        <v>15800000</v>
      </c>
      <c r="K546" s="47" t="str">
        <f>'[1]გეგმა 2024'!C12</f>
        <v>სხვადასხვა საკვები პროდუქტი</v>
      </c>
      <c r="L546" s="55" t="s">
        <v>166</v>
      </c>
      <c r="M546" s="53" t="s">
        <v>1089</v>
      </c>
    </row>
    <row r="547" spans="1:13" ht="47.25" customHeight="1">
      <c r="A547" s="46">
        <v>548</v>
      </c>
      <c r="B547" s="47" t="s">
        <v>1090</v>
      </c>
      <c r="C547" s="47" t="s">
        <v>1091</v>
      </c>
      <c r="D547" s="48">
        <v>150</v>
      </c>
      <c r="E547" s="48">
        <f>150</f>
        <v>150</v>
      </c>
      <c r="F547" s="48">
        <f t="shared" si="8"/>
        <v>0</v>
      </c>
      <c r="G547" s="85" t="s">
        <v>1088</v>
      </c>
      <c r="H547" s="50" t="s">
        <v>147</v>
      </c>
      <c r="I547" s="47" t="s">
        <v>31</v>
      </c>
      <c r="J547" s="100">
        <v>50700000</v>
      </c>
      <c r="K547" s="47" t="str">
        <f>'[1]გეგმა 2024'!C55</f>
        <v xml:space="preserve"> შენობის მოწყობილობების შეკეთება და ტექნიკური მომსახურება</v>
      </c>
      <c r="L547" s="102" t="s">
        <v>70</v>
      </c>
      <c r="M547" s="53" t="s">
        <v>1092</v>
      </c>
    </row>
    <row r="548" spans="1:13" ht="51.75" customHeight="1">
      <c r="A548" s="46">
        <v>549</v>
      </c>
      <c r="B548" s="47" t="s">
        <v>1093</v>
      </c>
      <c r="C548" s="47" t="s">
        <v>713</v>
      </c>
      <c r="D548" s="48">
        <v>900</v>
      </c>
      <c r="E548" s="48">
        <f>900</f>
        <v>900</v>
      </c>
      <c r="F548" s="48">
        <f t="shared" si="8"/>
        <v>0</v>
      </c>
      <c r="G548" s="85" t="s">
        <v>1094</v>
      </c>
      <c r="H548" s="50" t="s">
        <v>147</v>
      </c>
      <c r="I548" s="47" t="s">
        <v>31</v>
      </c>
      <c r="J548" s="89">
        <v>30200000</v>
      </c>
      <c r="K548" s="47" t="str">
        <f>'[1]გეგმა 2024'!C28</f>
        <v>კომპიუტერული მოწყობილობები ..</v>
      </c>
      <c r="L548" s="102" t="s">
        <v>70</v>
      </c>
      <c r="M548" s="53" t="s">
        <v>1095</v>
      </c>
    </row>
    <row r="549" spans="1:13" ht="62.25" customHeight="1">
      <c r="A549" s="46">
        <v>550</v>
      </c>
      <c r="B549" s="47" t="s">
        <v>1096</v>
      </c>
      <c r="C549" s="47" t="s">
        <v>1097</v>
      </c>
      <c r="D549" s="48">
        <f>64500</f>
        <v>64500</v>
      </c>
      <c r="E549" s="48">
        <f>64500</f>
        <v>64500</v>
      </c>
      <c r="F549" s="48">
        <f t="shared" si="8"/>
        <v>0</v>
      </c>
      <c r="G549" s="85" t="s">
        <v>1098</v>
      </c>
      <c r="H549" s="50" t="s">
        <v>147</v>
      </c>
      <c r="I549" s="47" t="s">
        <v>31</v>
      </c>
      <c r="J549" s="89">
        <v>92300000</v>
      </c>
      <c r="K549" s="47" t="str">
        <f>'[1]გეგმა 2024'!C109</f>
        <v>გასართობი მომსახურებები.</v>
      </c>
      <c r="L549" s="47" t="s">
        <v>108</v>
      </c>
      <c r="M549" s="53" t="s">
        <v>1099</v>
      </c>
    </row>
    <row r="550" spans="1:13" ht="72.75" customHeight="1">
      <c r="A550" s="21">
        <v>551</v>
      </c>
      <c r="B550" s="2" t="s">
        <v>1100</v>
      </c>
      <c r="C550" s="2" t="s">
        <v>1101</v>
      </c>
      <c r="D550" s="22">
        <v>400000</v>
      </c>
      <c r="E550" s="22"/>
      <c r="F550" s="22">
        <f t="shared" si="8"/>
        <v>400000</v>
      </c>
      <c r="G550" s="117" t="s">
        <v>1102</v>
      </c>
      <c r="H550" s="118" t="s">
        <v>147</v>
      </c>
      <c r="I550" s="29" t="s">
        <v>31</v>
      </c>
      <c r="J550" s="93">
        <v>79900000</v>
      </c>
      <c r="K550" s="2" t="str">
        <f>'[1]გეგმა 2024'!C100</f>
        <v xml:space="preserve"> სხვადასხვა კომერციული მომსახურება და მასთან დაკავშირებული მომსახურებები.</v>
      </c>
      <c r="L550" s="2" t="s">
        <v>108</v>
      </c>
      <c r="M550" s="24" t="s">
        <v>1103</v>
      </c>
    </row>
    <row r="551" spans="1:13" ht="56.25" customHeight="1">
      <c r="A551" s="21" t="s">
        <v>1104</v>
      </c>
      <c r="B551" s="2" t="s">
        <v>298</v>
      </c>
      <c r="C551" s="2" t="s">
        <v>207</v>
      </c>
      <c r="D551" s="22">
        <v>1259.96</v>
      </c>
      <c r="E551" s="22"/>
      <c r="F551" s="22">
        <f t="shared" si="8"/>
        <v>1259.96</v>
      </c>
      <c r="G551" s="92" t="s">
        <v>1105</v>
      </c>
      <c r="H551" s="45" t="s">
        <v>147</v>
      </c>
      <c r="I551" s="2" t="s">
        <v>31</v>
      </c>
      <c r="J551" s="23">
        <v>55100000</v>
      </c>
      <c r="K551" s="2" t="str">
        <f>'[1]გეგმა 2024'!C59</f>
        <v>სასტუმროს მომსახურება</v>
      </c>
      <c r="L551" s="2" t="s">
        <v>166</v>
      </c>
      <c r="M551" s="24" t="s">
        <v>1106</v>
      </c>
    </row>
    <row r="552" spans="1:13" ht="42.75" customHeight="1">
      <c r="A552" s="21">
        <v>552</v>
      </c>
      <c r="B552" s="2" t="s">
        <v>198</v>
      </c>
      <c r="C552" s="2" t="s">
        <v>165</v>
      </c>
      <c r="D552" s="22">
        <v>8053.5</v>
      </c>
      <c r="E552" s="22"/>
      <c r="F552" s="22">
        <f t="shared" si="8"/>
        <v>8053.5</v>
      </c>
      <c r="G552" s="92" t="s">
        <v>1107</v>
      </c>
      <c r="H552" s="45" t="s">
        <v>147</v>
      </c>
      <c r="I552" s="2" t="s">
        <v>31</v>
      </c>
      <c r="J552" s="93">
        <v>60400000</v>
      </c>
      <c r="K552" s="2" t="str">
        <f>'[1]გეგმა 2024'!C65</f>
        <v>საჰაერო ტრანსპორტის მომსახურებები</v>
      </c>
      <c r="L552" s="2" t="s">
        <v>166</v>
      </c>
      <c r="M552" s="24" t="s">
        <v>1108</v>
      </c>
    </row>
    <row r="553" spans="1:13" ht="63" customHeight="1">
      <c r="A553" s="46">
        <v>553</v>
      </c>
      <c r="B553" s="47" t="s">
        <v>200</v>
      </c>
      <c r="C553" s="47" t="s">
        <v>165</v>
      </c>
      <c r="D553" s="48">
        <v>1500</v>
      </c>
      <c r="E553" s="48">
        <f>1500</f>
        <v>1500</v>
      </c>
      <c r="F553" s="48">
        <f t="shared" si="8"/>
        <v>0</v>
      </c>
      <c r="G553" s="85" t="s">
        <v>1107</v>
      </c>
      <c r="H553" s="50" t="s">
        <v>147</v>
      </c>
      <c r="I553" s="47" t="s">
        <v>31</v>
      </c>
      <c r="J553" s="89">
        <v>60400000</v>
      </c>
      <c r="K553" s="47" t="str">
        <f>'[1]გეგმა 2024'!C65</f>
        <v>საჰაერო ტრანსპორტის მომსახურებები</v>
      </c>
      <c r="L553" s="47" t="s">
        <v>166</v>
      </c>
      <c r="M553" s="53" t="s">
        <v>1109</v>
      </c>
    </row>
    <row r="554" spans="1:13" ht="56.25" customHeight="1">
      <c r="A554" s="46">
        <v>554</v>
      </c>
      <c r="B554" s="47" t="s">
        <v>200</v>
      </c>
      <c r="C554" s="47" t="s">
        <v>165</v>
      </c>
      <c r="D554" s="48">
        <v>10565</v>
      </c>
      <c r="E554" s="48">
        <f>10565</f>
        <v>10565</v>
      </c>
      <c r="F554" s="48">
        <f t="shared" si="8"/>
        <v>0</v>
      </c>
      <c r="G554" s="85" t="s">
        <v>1107</v>
      </c>
      <c r="H554" s="50" t="s">
        <v>147</v>
      </c>
      <c r="I554" s="47" t="s">
        <v>31</v>
      </c>
      <c r="J554" s="89">
        <v>60400000</v>
      </c>
      <c r="K554" s="47" t="str">
        <f>'[1]გეგმა 2024'!C65</f>
        <v>საჰაერო ტრანსპორტის მომსახურებები</v>
      </c>
      <c r="L554" s="47" t="s">
        <v>166</v>
      </c>
      <c r="M554" s="53" t="s">
        <v>1110</v>
      </c>
    </row>
    <row r="555" spans="1:13" ht="39.75" customHeight="1">
      <c r="A555" s="46">
        <v>555</v>
      </c>
      <c r="B555" s="47" t="s">
        <v>198</v>
      </c>
      <c r="C555" s="47" t="s">
        <v>165</v>
      </c>
      <c r="D555" s="48">
        <v>3489.4</v>
      </c>
      <c r="E555" s="48">
        <f>3489.4</f>
        <v>3489.4</v>
      </c>
      <c r="F555" s="48">
        <f t="shared" si="8"/>
        <v>0</v>
      </c>
      <c r="G555" s="85" t="s">
        <v>1107</v>
      </c>
      <c r="H555" s="50" t="s">
        <v>147</v>
      </c>
      <c r="I555" s="47" t="s">
        <v>31</v>
      </c>
      <c r="J555" s="89">
        <v>60400000</v>
      </c>
      <c r="K555" s="47" t="str">
        <f>'[1]გეგმა 2024'!C65</f>
        <v>საჰაერო ტრანსპორტის მომსახურებები</v>
      </c>
      <c r="L555" s="47" t="s">
        <v>166</v>
      </c>
      <c r="M555" s="53" t="s">
        <v>1111</v>
      </c>
    </row>
    <row r="556" spans="1:13" ht="157.5">
      <c r="A556" s="46">
        <v>556</v>
      </c>
      <c r="B556" s="47" t="s">
        <v>1112</v>
      </c>
      <c r="C556" s="47" t="s">
        <v>188</v>
      </c>
      <c r="D556" s="48">
        <v>4650</v>
      </c>
      <c r="E556" s="48">
        <f>4650</f>
        <v>4650</v>
      </c>
      <c r="F556" s="48">
        <f t="shared" si="8"/>
        <v>0</v>
      </c>
      <c r="G556" s="85" t="s">
        <v>1107</v>
      </c>
      <c r="H556" s="50" t="s">
        <v>147</v>
      </c>
      <c r="I556" s="47" t="s">
        <v>31</v>
      </c>
      <c r="J556" s="89">
        <v>60100000</v>
      </c>
      <c r="K556" s="47" t="str">
        <f>'[1]გეგმა 2024'!C64</f>
        <v xml:space="preserve"> საავტომობილო ტრანსპორტის მომსახურებები</v>
      </c>
      <c r="L556" s="47" t="s">
        <v>166</v>
      </c>
      <c r="M556" s="53" t="s">
        <v>1113</v>
      </c>
    </row>
    <row r="557" spans="1:13" ht="157.5">
      <c r="A557" s="46">
        <v>557</v>
      </c>
      <c r="B557" s="47" t="s">
        <v>1112</v>
      </c>
      <c r="C557" s="47" t="s">
        <v>240</v>
      </c>
      <c r="D557" s="48">
        <v>3600</v>
      </c>
      <c r="E557" s="48">
        <f>3600</f>
        <v>3600</v>
      </c>
      <c r="F557" s="48">
        <f t="shared" si="8"/>
        <v>0</v>
      </c>
      <c r="G557" s="85" t="s">
        <v>1107</v>
      </c>
      <c r="H557" s="50" t="s">
        <v>147</v>
      </c>
      <c r="I557" s="47" t="s">
        <v>31</v>
      </c>
      <c r="J557" s="89">
        <v>63500000</v>
      </c>
      <c r="K557" s="47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557" s="47" t="s">
        <v>166</v>
      </c>
      <c r="M557" s="53" t="s">
        <v>1114</v>
      </c>
    </row>
    <row r="558" spans="1:13" ht="78.75">
      <c r="A558" s="21">
        <v>558</v>
      </c>
      <c r="B558" s="2" t="s">
        <v>783</v>
      </c>
      <c r="C558" s="2" t="s">
        <v>1115</v>
      </c>
      <c r="D558" s="22">
        <v>21300</v>
      </c>
      <c r="E558" s="22"/>
      <c r="F558" s="22">
        <f t="shared" si="8"/>
        <v>21300</v>
      </c>
      <c r="G558" s="92" t="s">
        <v>1107</v>
      </c>
      <c r="H558" s="45" t="s">
        <v>147</v>
      </c>
      <c r="I558" s="2" t="s">
        <v>24</v>
      </c>
      <c r="J558" s="93">
        <v>18500000</v>
      </c>
      <c r="K558" s="2" t="str">
        <f>'[1]გეგმა 2024'!C17</f>
        <v>სამკაულები, საათები და მონათესავე ნივთები</v>
      </c>
      <c r="L558" s="2" t="s">
        <v>1116</v>
      </c>
      <c r="M558" s="24" t="s">
        <v>1116</v>
      </c>
    </row>
    <row r="559" spans="1:13" ht="146.25">
      <c r="A559" s="21">
        <v>559</v>
      </c>
      <c r="B559" s="2" t="s">
        <v>943</v>
      </c>
      <c r="C559" s="2" t="s">
        <v>1117</v>
      </c>
      <c r="D559" s="22">
        <v>4500</v>
      </c>
      <c r="E559" s="22"/>
      <c r="F559" s="22">
        <f t="shared" ref="F559:F619" si="9">D559-E559</f>
        <v>4500</v>
      </c>
      <c r="G559" s="92" t="s">
        <v>1107</v>
      </c>
      <c r="H559" s="45" t="s">
        <v>147</v>
      </c>
      <c r="I559" s="2" t="s">
        <v>31</v>
      </c>
      <c r="J559" s="93">
        <v>42500000</v>
      </c>
      <c r="K559" s="2" t="str">
        <f>'[1]გეგმა 2024'!C42</f>
        <v>კონდიციონერი</v>
      </c>
      <c r="L559" s="2" t="s">
        <v>70</v>
      </c>
      <c r="M559" s="24" t="s">
        <v>1118</v>
      </c>
    </row>
    <row r="560" spans="1:13" ht="157.5">
      <c r="A560" s="21">
        <v>560</v>
      </c>
      <c r="B560" s="2" t="s">
        <v>1119</v>
      </c>
      <c r="C560" s="2" t="s">
        <v>207</v>
      </c>
      <c r="D560" s="22">
        <v>480</v>
      </c>
      <c r="E560" s="22"/>
      <c r="F560" s="22">
        <f t="shared" si="9"/>
        <v>480</v>
      </c>
      <c r="G560" s="92" t="s">
        <v>1107</v>
      </c>
      <c r="H560" s="45" t="s">
        <v>147</v>
      </c>
      <c r="I560" s="2" t="s">
        <v>31</v>
      </c>
      <c r="J560" s="93">
        <v>55100000</v>
      </c>
      <c r="K560" s="2" t="str">
        <f>'[1]გეგმა 2024'!C59</f>
        <v>სასტუმროს მომსახურება</v>
      </c>
      <c r="L560" s="2" t="s">
        <v>166</v>
      </c>
      <c r="M560" s="24" t="s">
        <v>1120</v>
      </c>
    </row>
    <row r="561" spans="1:13" ht="157.5">
      <c r="A561" s="21">
        <v>562</v>
      </c>
      <c r="B561" s="2" t="s">
        <v>200</v>
      </c>
      <c r="C561" s="2" t="s">
        <v>165</v>
      </c>
      <c r="D561" s="22">
        <v>5421</v>
      </c>
      <c r="E561" s="22"/>
      <c r="F561" s="22">
        <f t="shared" si="9"/>
        <v>5421</v>
      </c>
      <c r="G561" s="92" t="s">
        <v>1121</v>
      </c>
      <c r="H561" s="45" t="s">
        <v>147</v>
      </c>
      <c r="I561" s="2" t="s">
        <v>31</v>
      </c>
      <c r="J561" s="93">
        <v>60400000</v>
      </c>
      <c r="K561" s="2" t="str">
        <f>'[1]გეგმა 2024'!C65</f>
        <v>საჰაერო ტრანსპორტის მომსახურებები</v>
      </c>
      <c r="L561" s="2" t="s">
        <v>166</v>
      </c>
      <c r="M561" s="24" t="s">
        <v>1122</v>
      </c>
    </row>
    <row r="562" spans="1:13" ht="135">
      <c r="A562" s="77">
        <v>563</v>
      </c>
      <c r="B562" s="29" t="s">
        <v>401</v>
      </c>
      <c r="C562" s="29" t="s">
        <v>1123</v>
      </c>
      <c r="D562" s="78">
        <v>170800</v>
      </c>
      <c r="E562" s="78">
        <f>170800</f>
        <v>170800</v>
      </c>
      <c r="F562" s="78">
        <f t="shared" si="9"/>
        <v>0</v>
      </c>
      <c r="G562" s="117" t="s">
        <v>1124</v>
      </c>
      <c r="H562" s="118" t="s">
        <v>147</v>
      </c>
      <c r="I562" s="29" t="s">
        <v>24</v>
      </c>
      <c r="J562" s="119">
        <v>79900000</v>
      </c>
      <c r="K562" s="29" t="str">
        <f>'[1]გეგმა 2024'!C101</f>
        <v xml:space="preserve"> სხვადასხვა კომერციული მომსახურება და მასთან დაკავშირებული მომსახურებები</v>
      </c>
      <c r="L562" s="29" t="s">
        <v>1125</v>
      </c>
      <c r="M562" s="25" t="s">
        <v>1125</v>
      </c>
    </row>
    <row r="563" spans="1:13" ht="157.5">
      <c r="A563" s="21">
        <v>564</v>
      </c>
      <c r="B563" s="2" t="s">
        <v>1126</v>
      </c>
      <c r="C563" s="2" t="s">
        <v>290</v>
      </c>
      <c r="D563" s="22">
        <v>10582.05</v>
      </c>
      <c r="E563" s="22"/>
      <c r="F563" s="22">
        <f t="shared" si="9"/>
        <v>10582.05</v>
      </c>
      <c r="G563" s="92" t="s">
        <v>1124</v>
      </c>
      <c r="H563" s="45" t="s">
        <v>147</v>
      </c>
      <c r="I563" s="2" t="s">
        <v>31</v>
      </c>
      <c r="J563" s="93">
        <v>55300000</v>
      </c>
      <c r="K563" s="2" t="str">
        <f>'[1]გეგმა 2024'!C62</f>
        <v xml:space="preserve">რესტორნებისა და კვების საწარმოების მომსახურეობები </v>
      </c>
      <c r="L563" s="2" t="s">
        <v>166</v>
      </c>
      <c r="M563" s="24" t="s">
        <v>1127</v>
      </c>
    </row>
    <row r="564" spans="1:13" ht="157.5">
      <c r="A564" s="21">
        <v>565</v>
      </c>
      <c r="B564" s="2" t="s">
        <v>775</v>
      </c>
      <c r="C564" s="2" t="s">
        <v>209</v>
      </c>
      <c r="D564" s="22">
        <v>7810</v>
      </c>
      <c r="E564" s="22"/>
      <c r="F564" s="22">
        <f t="shared" si="9"/>
        <v>7810</v>
      </c>
      <c r="G564" s="92" t="s">
        <v>1124</v>
      </c>
      <c r="H564" s="45" t="s">
        <v>147</v>
      </c>
      <c r="I564" s="2" t="s">
        <v>31</v>
      </c>
      <c r="J564" s="93">
        <v>55300000</v>
      </c>
      <c r="K564" s="2" t="str">
        <f>'[1]გეგმა 2024'!C62</f>
        <v xml:space="preserve">რესტორნებისა და კვების საწარმოების მომსახურეობები </v>
      </c>
      <c r="L564" s="2" t="s">
        <v>166</v>
      </c>
      <c r="M564" s="24" t="s">
        <v>1128</v>
      </c>
    </row>
    <row r="565" spans="1:13" ht="157.5">
      <c r="A565" s="46">
        <v>566</v>
      </c>
      <c r="B565" s="47" t="s">
        <v>1129</v>
      </c>
      <c r="C565" s="47" t="s">
        <v>209</v>
      </c>
      <c r="D565" s="48">
        <v>5790</v>
      </c>
      <c r="E565" s="48">
        <f>5790</f>
        <v>5790</v>
      </c>
      <c r="F565" s="48">
        <f t="shared" si="9"/>
        <v>0</v>
      </c>
      <c r="G565" s="85" t="s">
        <v>1124</v>
      </c>
      <c r="H565" s="50" t="s">
        <v>147</v>
      </c>
      <c r="I565" s="47" t="s">
        <v>31</v>
      </c>
      <c r="J565" s="89">
        <v>55300000</v>
      </c>
      <c r="K565" s="47" t="str">
        <f>'[1]გეგმა 2024'!C62</f>
        <v xml:space="preserve">რესტორნებისა და კვების საწარმოების მომსახურეობები </v>
      </c>
      <c r="L565" s="47" t="s">
        <v>166</v>
      </c>
      <c r="M565" s="53" t="s">
        <v>1130</v>
      </c>
    </row>
    <row r="566" spans="1:13" ht="157.5">
      <c r="A566" s="46">
        <v>567</v>
      </c>
      <c r="B566" s="47" t="s">
        <v>1131</v>
      </c>
      <c r="C566" s="47" t="s">
        <v>207</v>
      </c>
      <c r="D566" s="48">
        <v>4000</v>
      </c>
      <c r="E566" s="48">
        <f>4000</f>
        <v>4000</v>
      </c>
      <c r="F566" s="48">
        <f t="shared" si="9"/>
        <v>0</v>
      </c>
      <c r="G566" s="85" t="s">
        <v>1124</v>
      </c>
      <c r="H566" s="50" t="s">
        <v>147</v>
      </c>
      <c r="I566" s="47" t="s">
        <v>31</v>
      </c>
      <c r="J566" s="51">
        <v>55100000</v>
      </c>
      <c r="K566" s="47" t="str">
        <f>'[1]გეგმა 2024'!C59</f>
        <v>სასტუმროს მომსახურება</v>
      </c>
      <c r="L566" s="47" t="s">
        <v>166</v>
      </c>
      <c r="M566" s="53" t="s">
        <v>1132</v>
      </c>
    </row>
    <row r="567" spans="1:13" ht="157.5">
      <c r="A567" s="21">
        <v>568</v>
      </c>
      <c r="B567" s="2" t="s">
        <v>379</v>
      </c>
      <c r="C567" s="2" t="s">
        <v>207</v>
      </c>
      <c r="D567" s="22">
        <v>4766.8500000000004</v>
      </c>
      <c r="E567" s="22"/>
      <c r="F567" s="22">
        <f t="shared" si="9"/>
        <v>4766.8500000000004</v>
      </c>
      <c r="G567" s="92" t="s">
        <v>1124</v>
      </c>
      <c r="H567" s="45" t="s">
        <v>147</v>
      </c>
      <c r="I567" s="2" t="s">
        <v>31</v>
      </c>
      <c r="J567" s="23">
        <v>55100000</v>
      </c>
      <c r="K567" s="2" t="str">
        <f>'[1]გეგმა 2024'!C59</f>
        <v>სასტუმროს მომსახურება</v>
      </c>
      <c r="L567" s="2" t="s">
        <v>166</v>
      </c>
      <c r="M567" s="24" t="s">
        <v>1133</v>
      </c>
    </row>
    <row r="568" spans="1:13" ht="303.75">
      <c r="A568" s="21">
        <v>569</v>
      </c>
      <c r="B568" s="2" t="s">
        <v>1134</v>
      </c>
      <c r="C568" s="2" t="s">
        <v>1135</v>
      </c>
      <c r="D568" s="22">
        <v>188799.90000000002</v>
      </c>
      <c r="E568" s="22">
        <f>68851.2+7650.13+13770.24</f>
        <v>90271.57</v>
      </c>
      <c r="F568" s="22">
        <f t="shared" si="9"/>
        <v>98528.330000000016</v>
      </c>
      <c r="G568" s="92" t="s">
        <v>1136</v>
      </c>
      <c r="H568" s="45" t="s">
        <v>147</v>
      </c>
      <c r="I568" s="2" t="s">
        <v>31</v>
      </c>
      <c r="J568" s="93">
        <v>79900000</v>
      </c>
      <c r="K568" s="2" t="str">
        <f>'[1]გეგმა 2024'!C100</f>
        <v xml:space="preserve"> სხვადასხვა კომერციული მომსახურება და მასთან დაკავშირებული მომსახურებები.</v>
      </c>
      <c r="L568" s="2" t="s">
        <v>108</v>
      </c>
      <c r="M568" s="24" t="s">
        <v>1137</v>
      </c>
    </row>
    <row r="569" spans="1:13" ht="157.5">
      <c r="A569" s="46">
        <v>570</v>
      </c>
      <c r="B569" s="120" t="s">
        <v>1138</v>
      </c>
      <c r="C569" s="120" t="s">
        <v>207</v>
      </c>
      <c r="D569" s="48">
        <v>750</v>
      </c>
      <c r="E569" s="48">
        <f>750</f>
        <v>750</v>
      </c>
      <c r="F569" s="48">
        <f t="shared" si="9"/>
        <v>0</v>
      </c>
      <c r="G569" s="85" t="s">
        <v>1136</v>
      </c>
      <c r="H569" s="50" t="s">
        <v>147</v>
      </c>
      <c r="I569" s="47" t="s">
        <v>31</v>
      </c>
      <c r="J569" s="51">
        <v>55100000</v>
      </c>
      <c r="K569" s="47" t="str">
        <f>'[1]გეგმა 2024'!C59</f>
        <v>სასტუმროს მომსახურება</v>
      </c>
      <c r="L569" s="54" t="s">
        <v>166</v>
      </c>
      <c r="M569" s="53" t="s">
        <v>1139</v>
      </c>
    </row>
    <row r="570" spans="1:13" ht="157.5">
      <c r="A570" s="21">
        <v>571</v>
      </c>
      <c r="B570" s="2" t="s">
        <v>1140</v>
      </c>
      <c r="C570" s="2" t="s">
        <v>207</v>
      </c>
      <c r="D570" s="22">
        <v>180</v>
      </c>
      <c r="E570" s="22"/>
      <c r="F570" s="22">
        <f t="shared" si="9"/>
        <v>180</v>
      </c>
      <c r="G570" s="92" t="s">
        <v>1136</v>
      </c>
      <c r="H570" s="45" t="s">
        <v>147</v>
      </c>
      <c r="I570" s="2" t="s">
        <v>31</v>
      </c>
      <c r="J570" s="93">
        <v>55100000</v>
      </c>
      <c r="K570" s="2" t="str">
        <f>'[1]გეგმა 2024'!C59</f>
        <v>სასტუმროს მომსახურება</v>
      </c>
      <c r="L570" s="2" t="s">
        <v>166</v>
      </c>
      <c r="M570" s="98" t="s">
        <v>1141</v>
      </c>
    </row>
    <row r="571" spans="1:13" ht="157.5">
      <c r="A571" s="21">
        <v>572</v>
      </c>
      <c r="B571" s="2" t="s">
        <v>395</v>
      </c>
      <c r="C571" s="2" t="s">
        <v>209</v>
      </c>
      <c r="D571" s="22">
        <v>120</v>
      </c>
      <c r="E571" s="22"/>
      <c r="F571" s="22">
        <f t="shared" si="9"/>
        <v>120</v>
      </c>
      <c r="G571" s="92" t="s">
        <v>1136</v>
      </c>
      <c r="H571" s="45" t="s">
        <v>147</v>
      </c>
      <c r="I571" s="2" t="s">
        <v>31</v>
      </c>
      <c r="J571" s="93">
        <v>55300000</v>
      </c>
      <c r="K571" s="2" t="str">
        <f>'[1]გეგმა 2024'!C62</f>
        <v xml:space="preserve">რესტორნებისა და კვების საწარმოების მომსახურეობები </v>
      </c>
      <c r="L571" s="2" t="s">
        <v>166</v>
      </c>
      <c r="M571" s="24" t="s">
        <v>1142</v>
      </c>
    </row>
    <row r="572" spans="1:13" ht="157.5">
      <c r="A572" s="21">
        <v>573</v>
      </c>
      <c r="B572" s="2" t="s">
        <v>1143</v>
      </c>
      <c r="C572" s="2" t="s">
        <v>209</v>
      </c>
      <c r="D572" s="22">
        <v>120</v>
      </c>
      <c r="E572" s="22"/>
      <c r="F572" s="22">
        <f t="shared" si="9"/>
        <v>120</v>
      </c>
      <c r="G572" s="92" t="s">
        <v>1136</v>
      </c>
      <c r="H572" s="45" t="s">
        <v>147</v>
      </c>
      <c r="I572" s="2" t="s">
        <v>31</v>
      </c>
      <c r="J572" s="93">
        <v>55300000</v>
      </c>
      <c r="K572" s="2" t="str">
        <f>'[1]გეგმა 2024'!C62</f>
        <v xml:space="preserve">რესტორნებისა და კვების საწარმოების მომსახურეობები </v>
      </c>
      <c r="L572" s="2" t="s">
        <v>166</v>
      </c>
      <c r="M572" s="24" t="s">
        <v>1144</v>
      </c>
    </row>
    <row r="573" spans="1:13" ht="157.5">
      <c r="A573" s="21">
        <v>574</v>
      </c>
      <c r="B573" s="2" t="s">
        <v>1145</v>
      </c>
      <c r="C573" s="2" t="s">
        <v>290</v>
      </c>
      <c r="D573" s="22">
        <v>700.28</v>
      </c>
      <c r="E573" s="22"/>
      <c r="F573" s="22">
        <f t="shared" si="9"/>
        <v>700.28</v>
      </c>
      <c r="G573" s="92" t="s">
        <v>1146</v>
      </c>
      <c r="H573" s="45" t="s">
        <v>147</v>
      </c>
      <c r="I573" s="2" t="s">
        <v>31</v>
      </c>
      <c r="J573" s="93">
        <v>55300000</v>
      </c>
      <c r="K573" s="2" t="str">
        <f>'[1]გეგმა 2024'!C62</f>
        <v xml:space="preserve">რესტორნებისა და კვების საწარმოების მომსახურეობები </v>
      </c>
      <c r="L573" s="2" t="s">
        <v>166</v>
      </c>
      <c r="M573" s="24"/>
    </row>
    <row r="574" spans="1:13" ht="157.5">
      <c r="A574" s="21">
        <v>575</v>
      </c>
      <c r="B574" s="2" t="s">
        <v>1147</v>
      </c>
      <c r="C574" s="2" t="s">
        <v>207</v>
      </c>
      <c r="D574" s="22">
        <v>3739.95</v>
      </c>
      <c r="E574" s="22"/>
      <c r="F574" s="22">
        <f t="shared" si="9"/>
        <v>3739.95</v>
      </c>
      <c r="G574" s="92" t="s">
        <v>1148</v>
      </c>
      <c r="H574" s="45" t="s">
        <v>147</v>
      </c>
      <c r="I574" s="2" t="s">
        <v>31</v>
      </c>
      <c r="J574" s="93">
        <v>55100000</v>
      </c>
      <c r="K574" s="2" t="str">
        <f>'[1]გეგმა 2024'!C59</f>
        <v>სასტუმროს მომსახურება</v>
      </c>
      <c r="L574" s="2" t="s">
        <v>166</v>
      </c>
      <c r="M574" s="24" t="s">
        <v>1149</v>
      </c>
    </row>
    <row r="575" spans="1:13" ht="157.5">
      <c r="A575" s="21">
        <v>576</v>
      </c>
      <c r="B575" s="2" t="s">
        <v>1147</v>
      </c>
      <c r="C575" s="2" t="s">
        <v>290</v>
      </c>
      <c r="D575" s="22">
        <v>6650</v>
      </c>
      <c r="E575" s="22"/>
      <c r="F575" s="22">
        <f t="shared" si="9"/>
        <v>6650</v>
      </c>
      <c r="G575" s="92" t="s">
        <v>1148</v>
      </c>
      <c r="H575" s="45" t="s">
        <v>147</v>
      </c>
      <c r="I575" s="2" t="s">
        <v>31</v>
      </c>
      <c r="J575" s="93">
        <v>55300000</v>
      </c>
      <c r="K575" s="2" t="str">
        <f>'[1]გეგმა 2024'!C62</f>
        <v xml:space="preserve">რესტორნებისა და კვების საწარმოების მომსახურეობები </v>
      </c>
      <c r="L575" s="2" t="s">
        <v>166</v>
      </c>
      <c r="M575" s="24" t="s">
        <v>1150</v>
      </c>
    </row>
    <row r="576" spans="1:13" ht="157.5">
      <c r="A576" s="21">
        <v>577</v>
      </c>
      <c r="B576" s="2" t="s">
        <v>318</v>
      </c>
      <c r="C576" s="2" t="s">
        <v>209</v>
      </c>
      <c r="D576" s="22">
        <v>120</v>
      </c>
      <c r="E576" s="22"/>
      <c r="F576" s="22">
        <f t="shared" si="9"/>
        <v>120</v>
      </c>
      <c r="G576" s="92" t="s">
        <v>1151</v>
      </c>
      <c r="H576" s="45" t="s">
        <v>147</v>
      </c>
      <c r="I576" s="2" t="s">
        <v>31</v>
      </c>
      <c r="J576" s="93">
        <v>55300000</v>
      </c>
      <c r="K576" s="2" t="str">
        <f>'[1]გეგმა 2024'!C62</f>
        <v xml:space="preserve">რესტორნებისა და კვების საწარმოების მომსახურეობები </v>
      </c>
      <c r="L576" s="2" t="s">
        <v>166</v>
      </c>
      <c r="M576" s="24" t="s">
        <v>1152</v>
      </c>
    </row>
    <row r="577" spans="1:13" ht="157.5">
      <c r="A577" s="21">
        <v>578</v>
      </c>
      <c r="B577" s="2" t="s">
        <v>1053</v>
      </c>
      <c r="C577" s="2" t="s">
        <v>209</v>
      </c>
      <c r="D577" s="22">
        <v>120</v>
      </c>
      <c r="E577" s="22"/>
      <c r="F577" s="22">
        <f t="shared" si="9"/>
        <v>120</v>
      </c>
      <c r="G577" s="92" t="s">
        <v>1151</v>
      </c>
      <c r="H577" s="45" t="s">
        <v>147</v>
      </c>
      <c r="I577" s="2" t="s">
        <v>31</v>
      </c>
      <c r="J577" s="93">
        <v>55300000</v>
      </c>
      <c r="K577" s="2" t="str">
        <f>'[1]გეგმა 2024'!C62</f>
        <v xml:space="preserve">რესტორნებისა და კვების საწარმოების მომსახურეობები </v>
      </c>
      <c r="L577" s="2" t="s">
        <v>166</v>
      </c>
      <c r="M577" s="24" t="s">
        <v>1153</v>
      </c>
    </row>
    <row r="578" spans="1:13" ht="303.75">
      <c r="A578" s="21">
        <v>579</v>
      </c>
      <c r="B578" s="2" t="s">
        <v>1154</v>
      </c>
      <c r="C578" s="2" t="s">
        <v>1155</v>
      </c>
      <c r="D578" s="22">
        <v>15100</v>
      </c>
      <c r="E578" s="22"/>
      <c r="F578" s="22">
        <f t="shared" si="9"/>
        <v>15100</v>
      </c>
      <c r="G578" s="92" t="s">
        <v>1156</v>
      </c>
      <c r="H578" s="45" t="s">
        <v>147</v>
      </c>
      <c r="I578" s="2" t="s">
        <v>31</v>
      </c>
      <c r="J578" s="93">
        <v>79300000</v>
      </c>
      <c r="K578" s="2" t="str">
        <f>'[1]გეგმა 2024'!C87</f>
        <v>ბაზრის კვლევა და ეკონომიკური კვლევა გამოკითხვები და სტატისტიკა.</v>
      </c>
      <c r="L578" s="2" t="s">
        <v>108</v>
      </c>
      <c r="M578" s="24" t="s">
        <v>1157</v>
      </c>
    </row>
    <row r="579" spans="1:13" ht="303.75">
      <c r="A579" s="21">
        <v>580</v>
      </c>
      <c r="B579" s="2" t="s">
        <v>1158</v>
      </c>
      <c r="C579" s="2" t="s">
        <v>1159</v>
      </c>
      <c r="D579" s="22">
        <v>14000</v>
      </c>
      <c r="E579" s="22"/>
      <c r="F579" s="22">
        <f t="shared" si="9"/>
        <v>14000</v>
      </c>
      <c r="G579" s="92" t="s">
        <v>1156</v>
      </c>
      <c r="H579" s="45" t="s">
        <v>147</v>
      </c>
      <c r="I579" s="2" t="s">
        <v>31</v>
      </c>
      <c r="J579" s="93">
        <v>79900000</v>
      </c>
      <c r="K579" s="2" t="str">
        <f>'[1]გეგმა 2024'!C100</f>
        <v xml:space="preserve"> სხვადასხვა კომერციული მომსახურება და მასთან დაკავშირებული მომსახურებები.</v>
      </c>
      <c r="L579" s="2" t="s">
        <v>108</v>
      </c>
      <c r="M579" s="24" t="s">
        <v>1160</v>
      </c>
    </row>
    <row r="580" spans="1:13" ht="303.75">
      <c r="A580" s="21">
        <v>581</v>
      </c>
      <c r="B580" s="2" t="s">
        <v>1161</v>
      </c>
      <c r="C580" s="2" t="s">
        <v>1162</v>
      </c>
      <c r="D580" s="22">
        <v>459000</v>
      </c>
      <c r="E580" s="22"/>
      <c r="F580" s="22">
        <f t="shared" si="9"/>
        <v>459000</v>
      </c>
      <c r="G580" s="92" t="s">
        <v>1163</v>
      </c>
      <c r="H580" s="45" t="s">
        <v>147</v>
      </c>
      <c r="I580" s="2" t="s">
        <v>31</v>
      </c>
      <c r="J580" s="93">
        <v>79900000</v>
      </c>
      <c r="K580" s="2" t="str">
        <f>'[1]გეგმა 2024'!C100</f>
        <v xml:space="preserve"> სხვადასხვა კომერციული მომსახურება და მასთან დაკავშირებული მომსახურებები.</v>
      </c>
      <c r="L580" s="2" t="s">
        <v>108</v>
      </c>
      <c r="M580" s="24" t="s">
        <v>1164</v>
      </c>
    </row>
    <row r="581" spans="1:13" ht="157.5">
      <c r="A581" s="21">
        <v>582</v>
      </c>
      <c r="B581" s="2" t="s">
        <v>890</v>
      </c>
      <c r="C581" s="2" t="s">
        <v>188</v>
      </c>
      <c r="D581" s="22">
        <v>3800</v>
      </c>
      <c r="E581" s="22"/>
      <c r="F581" s="22">
        <f t="shared" si="9"/>
        <v>3800</v>
      </c>
      <c r="G581" s="92" t="s">
        <v>1163</v>
      </c>
      <c r="H581" s="45" t="s">
        <v>147</v>
      </c>
      <c r="I581" s="2" t="s">
        <v>31</v>
      </c>
      <c r="J581" s="101">
        <v>60100000</v>
      </c>
      <c r="K581" s="2" t="str">
        <f>'[1]გეგმა 2024'!C64</f>
        <v xml:space="preserve"> საავტომობილო ტრანსპორტის მომსახურებები</v>
      </c>
      <c r="L581" s="111" t="s">
        <v>166</v>
      </c>
      <c r="M581" s="24" t="s">
        <v>1165</v>
      </c>
    </row>
    <row r="582" spans="1:13" ht="157.5">
      <c r="A582" s="21">
        <v>583</v>
      </c>
      <c r="B582" s="2" t="s">
        <v>890</v>
      </c>
      <c r="C582" s="2" t="s">
        <v>240</v>
      </c>
      <c r="D582" s="22">
        <v>2850</v>
      </c>
      <c r="E582" s="22"/>
      <c r="F582" s="22">
        <f t="shared" si="9"/>
        <v>2850</v>
      </c>
      <c r="G582" s="92" t="s">
        <v>1163</v>
      </c>
      <c r="H582" s="45" t="s">
        <v>147</v>
      </c>
      <c r="I582" s="2" t="s">
        <v>31</v>
      </c>
      <c r="J582" s="101">
        <v>63500000</v>
      </c>
      <c r="K582" s="2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582" s="111" t="s">
        <v>166</v>
      </c>
      <c r="M582" s="24" t="s">
        <v>1166</v>
      </c>
    </row>
    <row r="583" spans="1:13" ht="157.5">
      <c r="A583" s="21">
        <v>584</v>
      </c>
      <c r="B583" s="2" t="s">
        <v>490</v>
      </c>
      <c r="C583" s="2" t="s">
        <v>240</v>
      </c>
      <c r="D583" s="22">
        <v>3480</v>
      </c>
      <c r="E583" s="22"/>
      <c r="F583" s="22">
        <f t="shared" si="9"/>
        <v>3480</v>
      </c>
      <c r="G583" s="92" t="s">
        <v>1163</v>
      </c>
      <c r="H583" s="45" t="s">
        <v>147</v>
      </c>
      <c r="I583" s="2" t="s">
        <v>31</v>
      </c>
      <c r="J583" s="101">
        <v>63500000</v>
      </c>
      <c r="K583" s="2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583" s="111" t="s">
        <v>166</v>
      </c>
      <c r="M583" s="24"/>
    </row>
    <row r="584" spans="1:13" ht="157.5">
      <c r="A584" s="21">
        <v>585</v>
      </c>
      <c r="B584" s="2" t="s">
        <v>904</v>
      </c>
      <c r="C584" s="2" t="s">
        <v>188</v>
      </c>
      <c r="D584" s="22">
        <v>7150</v>
      </c>
      <c r="E584" s="22"/>
      <c r="F584" s="22">
        <f t="shared" si="9"/>
        <v>7150</v>
      </c>
      <c r="G584" s="92" t="s">
        <v>1163</v>
      </c>
      <c r="H584" s="45" t="s">
        <v>147</v>
      </c>
      <c r="I584" s="2" t="s">
        <v>31</v>
      </c>
      <c r="J584" s="101">
        <v>60100000</v>
      </c>
      <c r="K584" s="2" t="str">
        <f>'[1]გეგმა 2024'!C64</f>
        <v xml:space="preserve"> საავტომობილო ტრანსპორტის მომსახურებები</v>
      </c>
      <c r="L584" s="111" t="s">
        <v>166</v>
      </c>
      <c r="M584" s="24"/>
    </row>
    <row r="585" spans="1:13" ht="157.5">
      <c r="A585" s="21">
        <v>586</v>
      </c>
      <c r="B585" s="2" t="s">
        <v>1040</v>
      </c>
      <c r="C585" s="2" t="s">
        <v>209</v>
      </c>
      <c r="D585" s="23">
        <v>480</v>
      </c>
      <c r="E585" s="22"/>
      <c r="F585" s="22">
        <f t="shared" si="9"/>
        <v>480</v>
      </c>
      <c r="G585" s="92" t="s">
        <v>1163</v>
      </c>
      <c r="H585" s="45" t="s">
        <v>147</v>
      </c>
      <c r="I585" s="2" t="s">
        <v>31</v>
      </c>
      <c r="J585" s="93">
        <v>55300000</v>
      </c>
      <c r="K585" s="2" t="str">
        <f>'[1]გეგმა 2024'!C62</f>
        <v xml:space="preserve">რესტორნებისა და კვების საწარმოების მომსახურეობები </v>
      </c>
      <c r="L585" s="111" t="s">
        <v>166</v>
      </c>
      <c r="M585" s="24"/>
    </row>
    <row r="586" spans="1:13" ht="157.5">
      <c r="A586" s="21">
        <v>587</v>
      </c>
      <c r="B586" s="2" t="s">
        <v>679</v>
      </c>
      <c r="C586" s="2" t="s">
        <v>209</v>
      </c>
      <c r="D586" s="22">
        <v>480</v>
      </c>
      <c r="E586" s="22"/>
      <c r="F586" s="22">
        <f t="shared" si="9"/>
        <v>480</v>
      </c>
      <c r="G586" s="92" t="s">
        <v>1163</v>
      </c>
      <c r="H586" s="45" t="s">
        <v>147</v>
      </c>
      <c r="I586" s="2" t="s">
        <v>31</v>
      </c>
      <c r="J586" s="93">
        <v>55300000</v>
      </c>
      <c r="K586" s="2" t="str">
        <f>'[1]გეგმა 2024'!C62</f>
        <v xml:space="preserve">რესტორნებისა და კვების საწარმოების მომსახურეობები </v>
      </c>
      <c r="L586" s="111" t="s">
        <v>166</v>
      </c>
      <c r="M586" s="24"/>
    </row>
    <row r="587" spans="1:13" ht="157.5">
      <c r="A587" s="21">
        <v>588</v>
      </c>
      <c r="B587" s="2" t="s">
        <v>1167</v>
      </c>
      <c r="C587" s="2" t="s">
        <v>209</v>
      </c>
      <c r="D587" s="22">
        <v>480</v>
      </c>
      <c r="E587" s="22"/>
      <c r="F587" s="22">
        <f t="shared" si="9"/>
        <v>480</v>
      </c>
      <c r="G587" s="92" t="s">
        <v>1163</v>
      </c>
      <c r="H587" s="45" t="s">
        <v>147</v>
      </c>
      <c r="I587" s="2" t="s">
        <v>31</v>
      </c>
      <c r="J587" s="93">
        <v>55300000</v>
      </c>
      <c r="K587" s="2" t="str">
        <f>'[1]გეგმა 2024'!C62</f>
        <v xml:space="preserve">რესტორნებისა და კვების საწარმოების მომსახურეობები </v>
      </c>
      <c r="L587" s="111" t="s">
        <v>166</v>
      </c>
      <c r="M587" s="24"/>
    </row>
    <row r="588" spans="1:13" ht="157.5">
      <c r="A588" s="21">
        <v>590</v>
      </c>
      <c r="B588" s="2" t="s">
        <v>312</v>
      </c>
      <c r="C588" s="2" t="s">
        <v>209</v>
      </c>
      <c r="D588" s="22">
        <v>480</v>
      </c>
      <c r="E588" s="22"/>
      <c r="F588" s="22">
        <f t="shared" si="9"/>
        <v>480</v>
      </c>
      <c r="G588" s="92" t="s">
        <v>1163</v>
      </c>
      <c r="H588" s="45" t="s">
        <v>147</v>
      </c>
      <c r="I588" s="2" t="s">
        <v>31</v>
      </c>
      <c r="J588" s="93">
        <v>55300000</v>
      </c>
      <c r="K588" s="2" t="str">
        <f>'[1]გეგმა 2024'!C62</f>
        <v xml:space="preserve">რესტორნებისა და კვების საწარმოების მომსახურეობები </v>
      </c>
      <c r="L588" s="111" t="s">
        <v>166</v>
      </c>
      <c r="M588" s="24"/>
    </row>
    <row r="589" spans="1:13" ht="157.5">
      <c r="A589" s="21">
        <v>591</v>
      </c>
      <c r="B589" s="2" t="s">
        <v>318</v>
      </c>
      <c r="C589" s="2" t="s">
        <v>209</v>
      </c>
      <c r="D589" s="22">
        <v>480</v>
      </c>
      <c r="E589" s="22"/>
      <c r="F589" s="22">
        <f t="shared" si="9"/>
        <v>480</v>
      </c>
      <c r="G589" s="92" t="s">
        <v>1163</v>
      </c>
      <c r="H589" s="45" t="s">
        <v>147</v>
      </c>
      <c r="I589" s="2" t="s">
        <v>31</v>
      </c>
      <c r="J589" s="93">
        <v>55300000</v>
      </c>
      <c r="K589" s="2" t="str">
        <f>'[1]გეგმა 2024'!C62</f>
        <v xml:space="preserve">რესტორნებისა და კვების საწარმოების მომსახურეობები </v>
      </c>
      <c r="L589" s="111" t="s">
        <v>166</v>
      </c>
      <c r="M589" s="24"/>
    </row>
    <row r="590" spans="1:13" ht="157.5">
      <c r="A590" s="21">
        <v>593</v>
      </c>
      <c r="B590" s="2" t="s">
        <v>1168</v>
      </c>
      <c r="C590" s="2" t="s">
        <v>209</v>
      </c>
      <c r="D590" s="22">
        <v>480</v>
      </c>
      <c r="E590" s="22"/>
      <c r="F590" s="22">
        <f t="shared" si="9"/>
        <v>480</v>
      </c>
      <c r="G590" s="92" t="s">
        <v>1163</v>
      </c>
      <c r="H590" s="45" t="s">
        <v>147</v>
      </c>
      <c r="I590" s="2" t="s">
        <v>31</v>
      </c>
      <c r="J590" s="93">
        <v>55300000</v>
      </c>
      <c r="K590" s="2" t="str">
        <f>'[1]გეგმა 2024'!C62</f>
        <v xml:space="preserve">რესტორნებისა და კვების საწარმოების მომსახურეობები </v>
      </c>
      <c r="L590" s="111" t="s">
        <v>166</v>
      </c>
      <c r="M590" s="24"/>
    </row>
    <row r="591" spans="1:13" ht="304.5">
      <c r="A591" s="21">
        <v>594</v>
      </c>
      <c r="B591" s="2" t="s">
        <v>1169</v>
      </c>
      <c r="C591" s="121" t="s">
        <v>1170</v>
      </c>
      <c r="D591" s="22">
        <v>257524.22</v>
      </c>
      <c r="E591" s="22"/>
      <c r="F591" s="22">
        <f t="shared" si="9"/>
        <v>257524.22</v>
      </c>
      <c r="G591" s="92" t="s">
        <v>1171</v>
      </c>
      <c r="H591" s="45" t="s">
        <v>147</v>
      </c>
      <c r="I591" s="2" t="s">
        <v>31</v>
      </c>
      <c r="J591" s="93">
        <v>79900000</v>
      </c>
      <c r="K591" s="2" t="str">
        <f>'[1]გეგმა 2024'!C100</f>
        <v xml:space="preserve"> სხვადასხვა კომერციული მომსახურება და მასთან დაკავშირებული მომსახურებები.</v>
      </c>
      <c r="L591" s="2" t="s">
        <v>108</v>
      </c>
      <c r="M591" s="24"/>
    </row>
    <row r="592" spans="1:13" ht="303.75">
      <c r="A592" s="21">
        <v>595</v>
      </c>
      <c r="B592" s="2" t="s">
        <v>1172</v>
      </c>
      <c r="C592" s="2" t="s">
        <v>1173</v>
      </c>
      <c r="D592" s="22">
        <v>494000</v>
      </c>
      <c r="E592" s="22"/>
      <c r="F592" s="22">
        <f t="shared" si="9"/>
        <v>494000</v>
      </c>
      <c r="G592" s="92" t="s">
        <v>1171</v>
      </c>
      <c r="H592" s="45" t="s">
        <v>147</v>
      </c>
      <c r="I592" s="2" t="s">
        <v>31</v>
      </c>
      <c r="J592" s="93">
        <v>79300000</v>
      </c>
      <c r="K592" s="2" t="str">
        <f>'[1]გეგმა 2024'!C87</f>
        <v>ბაზრის კვლევა და ეკონომიკური კვლევა გამოკითხვები და სტატისტიკა.</v>
      </c>
      <c r="L592" s="2" t="s">
        <v>108</v>
      </c>
      <c r="M592" s="24" t="s">
        <v>1174</v>
      </c>
    </row>
    <row r="593" spans="1:13" ht="146.25">
      <c r="A593" s="21">
        <v>596</v>
      </c>
      <c r="B593" s="2" t="s">
        <v>767</v>
      </c>
      <c r="C593" s="2" t="s">
        <v>768</v>
      </c>
      <c r="D593" s="22">
        <v>35</v>
      </c>
      <c r="E593" s="22"/>
      <c r="F593" s="22">
        <f t="shared" si="9"/>
        <v>35</v>
      </c>
      <c r="G593" s="92" t="s">
        <v>1171</v>
      </c>
      <c r="H593" s="45" t="s">
        <v>147</v>
      </c>
      <c r="I593" s="2" t="s">
        <v>31</v>
      </c>
      <c r="J593" s="93">
        <v>79600000</v>
      </c>
      <c r="K593" s="2" t="str">
        <f>'[1]გეგმა 2024'!C95</f>
        <v>პერსონალის დაქირავებასთან დაკავშირებული მომსახურებები</v>
      </c>
      <c r="L593" s="111" t="s">
        <v>70</v>
      </c>
      <c r="M593" s="24" t="s">
        <v>1175</v>
      </c>
    </row>
    <row r="594" spans="1:13" ht="157.5">
      <c r="A594" s="21">
        <v>597</v>
      </c>
      <c r="B594" s="2" t="s">
        <v>473</v>
      </c>
      <c r="C594" s="2" t="s">
        <v>209</v>
      </c>
      <c r="D594" s="22">
        <v>480</v>
      </c>
      <c r="E594" s="22"/>
      <c r="F594" s="22">
        <f t="shared" si="9"/>
        <v>480</v>
      </c>
      <c r="G594" s="92" t="s">
        <v>1171</v>
      </c>
      <c r="H594" s="45" t="s">
        <v>147</v>
      </c>
      <c r="I594" s="2" t="s">
        <v>31</v>
      </c>
      <c r="J594" s="93">
        <v>55300000</v>
      </c>
      <c r="K594" s="2" t="str">
        <f>'[1]გეგმა 2024'!C62</f>
        <v xml:space="preserve">რესტორნებისა და კვების საწარმოების მომსახურეობები </v>
      </c>
      <c r="L594" s="111" t="s">
        <v>166</v>
      </c>
      <c r="M594" s="24"/>
    </row>
    <row r="595" spans="1:13" ht="157.5">
      <c r="A595" s="21">
        <v>598</v>
      </c>
      <c r="B595" s="2" t="s">
        <v>229</v>
      </c>
      <c r="C595" s="2" t="s">
        <v>209</v>
      </c>
      <c r="D595" s="22">
        <v>480</v>
      </c>
      <c r="E595" s="22"/>
      <c r="F595" s="22">
        <f t="shared" si="9"/>
        <v>480</v>
      </c>
      <c r="G595" s="92" t="s">
        <v>1171</v>
      </c>
      <c r="H595" s="45" t="s">
        <v>147</v>
      </c>
      <c r="I595" s="2" t="s">
        <v>31</v>
      </c>
      <c r="J595" s="93">
        <v>55300000</v>
      </c>
      <c r="K595" s="2" t="str">
        <f>'[1]გეგმა 2024'!C62</f>
        <v xml:space="preserve">რესტორნებისა და კვების საწარმოების მომსახურეობები </v>
      </c>
      <c r="L595" s="111" t="s">
        <v>166</v>
      </c>
      <c r="M595" s="24"/>
    </row>
    <row r="596" spans="1:13" ht="157.5">
      <c r="A596" s="21">
        <v>599</v>
      </c>
      <c r="B596" s="2" t="s">
        <v>1176</v>
      </c>
      <c r="C596" s="2" t="s">
        <v>209</v>
      </c>
      <c r="D596" s="22">
        <v>480</v>
      </c>
      <c r="E596" s="22"/>
      <c r="F596" s="22">
        <f t="shared" si="9"/>
        <v>480</v>
      </c>
      <c r="G596" s="92" t="s">
        <v>1171</v>
      </c>
      <c r="H596" s="45" t="s">
        <v>147</v>
      </c>
      <c r="I596" s="2" t="s">
        <v>31</v>
      </c>
      <c r="J596" s="93">
        <v>55300000</v>
      </c>
      <c r="K596" s="2" t="str">
        <f>'[1]გეგმა 2024'!C62</f>
        <v xml:space="preserve">რესტორნებისა და კვების საწარმოების მომსახურეობები </v>
      </c>
      <c r="L596" s="111" t="s">
        <v>166</v>
      </c>
      <c r="M596" s="24"/>
    </row>
    <row r="597" spans="1:13" ht="157.5">
      <c r="A597" s="21">
        <v>600</v>
      </c>
      <c r="B597" s="2" t="s">
        <v>1177</v>
      </c>
      <c r="C597" s="2" t="s">
        <v>209</v>
      </c>
      <c r="D597" s="22">
        <v>480</v>
      </c>
      <c r="E597" s="22"/>
      <c r="F597" s="22">
        <f t="shared" si="9"/>
        <v>480</v>
      </c>
      <c r="G597" s="92" t="s">
        <v>1171</v>
      </c>
      <c r="H597" s="45" t="s">
        <v>147</v>
      </c>
      <c r="I597" s="2" t="s">
        <v>31</v>
      </c>
      <c r="J597" s="93">
        <v>55300000</v>
      </c>
      <c r="K597" s="2" t="str">
        <f>'[1]გეგმა 2024'!C62</f>
        <v xml:space="preserve">რესტორნებისა და კვების საწარმოების მომსახურეობები </v>
      </c>
      <c r="L597" s="111" t="s">
        <v>166</v>
      </c>
      <c r="M597" s="24"/>
    </row>
    <row r="598" spans="1:13" ht="157.5">
      <c r="A598" s="21">
        <v>601</v>
      </c>
      <c r="B598" s="2" t="s">
        <v>1178</v>
      </c>
      <c r="C598" s="2" t="s">
        <v>209</v>
      </c>
      <c r="D598" s="22">
        <v>480</v>
      </c>
      <c r="E598" s="22"/>
      <c r="F598" s="22">
        <f t="shared" si="9"/>
        <v>480</v>
      </c>
      <c r="G598" s="92" t="s">
        <v>1171</v>
      </c>
      <c r="H598" s="45" t="s">
        <v>147</v>
      </c>
      <c r="I598" s="2" t="s">
        <v>31</v>
      </c>
      <c r="J598" s="93">
        <v>55300000</v>
      </c>
      <c r="K598" s="2" t="str">
        <f>'[1]გეგმა 2024'!C62</f>
        <v xml:space="preserve">რესტორნებისა და კვების საწარმოების მომსახურეობები </v>
      </c>
      <c r="L598" s="111" t="s">
        <v>166</v>
      </c>
      <c r="M598" s="24"/>
    </row>
    <row r="599" spans="1:13" ht="157.5">
      <c r="A599" s="21">
        <v>602</v>
      </c>
      <c r="B599" s="2" t="s">
        <v>395</v>
      </c>
      <c r="C599" s="2" t="s">
        <v>209</v>
      </c>
      <c r="D599" s="22">
        <v>480</v>
      </c>
      <c r="E599" s="22"/>
      <c r="F599" s="22">
        <f t="shared" si="9"/>
        <v>480</v>
      </c>
      <c r="G599" s="92" t="s">
        <v>1171</v>
      </c>
      <c r="H599" s="45" t="s">
        <v>147</v>
      </c>
      <c r="I599" s="2" t="s">
        <v>31</v>
      </c>
      <c r="J599" s="93">
        <v>55300000</v>
      </c>
      <c r="K599" s="2" t="str">
        <f>'[1]გეგმა 2024'!C62</f>
        <v xml:space="preserve">რესტორნებისა და კვების საწარმოების მომსახურეობები </v>
      </c>
      <c r="L599" s="111" t="s">
        <v>166</v>
      </c>
      <c r="M599" s="24"/>
    </row>
    <row r="600" spans="1:13" ht="157.5">
      <c r="A600" s="21">
        <v>603</v>
      </c>
      <c r="B600" s="2" t="s">
        <v>1179</v>
      </c>
      <c r="C600" s="2" t="s">
        <v>209</v>
      </c>
      <c r="D600" s="22">
        <v>480</v>
      </c>
      <c r="E600" s="22"/>
      <c r="F600" s="22">
        <f t="shared" si="9"/>
        <v>480</v>
      </c>
      <c r="G600" s="92" t="s">
        <v>1171</v>
      </c>
      <c r="H600" s="45" t="s">
        <v>147</v>
      </c>
      <c r="I600" s="2" t="s">
        <v>31</v>
      </c>
      <c r="J600" s="93">
        <v>55300000</v>
      </c>
      <c r="K600" s="2" t="str">
        <f>'[1]გეგმა 2024'!C62</f>
        <v xml:space="preserve">რესტორნებისა და კვების საწარმოების მომსახურეობები </v>
      </c>
      <c r="L600" s="111" t="s">
        <v>166</v>
      </c>
      <c r="M600" s="24"/>
    </row>
    <row r="601" spans="1:13" ht="157.5">
      <c r="A601" s="21">
        <v>604</v>
      </c>
      <c r="B601" s="2" t="s">
        <v>1180</v>
      </c>
      <c r="C601" s="2" t="s">
        <v>237</v>
      </c>
      <c r="D601" s="22">
        <v>60</v>
      </c>
      <c r="E601" s="22"/>
      <c r="F601" s="22">
        <f t="shared" si="9"/>
        <v>60</v>
      </c>
      <c r="G601" s="92" t="s">
        <v>1171</v>
      </c>
      <c r="H601" s="45" t="s">
        <v>147</v>
      </c>
      <c r="I601" s="2" t="s">
        <v>31</v>
      </c>
      <c r="J601" s="101">
        <v>92500000</v>
      </c>
      <c r="K601" s="2" t="str">
        <f>'[1]გეგმა 2024'!C114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601" s="111" t="s">
        <v>166</v>
      </c>
      <c r="M601" s="24"/>
    </row>
    <row r="602" spans="1:13" ht="157.5">
      <c r="A602" s="21">
        <v>605</v>
      </c>
      <c r="B602" s="2" t="s">
        <v>1053</v>
      </c>
      <c r="C602" s="2" t="s">
        <v>209</v>
      </c>
      <c r="D602" s="22">
        <v>480</v>
      </c>
      <c r="E602" s="22"/>
      <c r="F602" s="22">
        <f t="shared" si="9"/>
        <v>480</v>
      </c>
      <c r="G602" s="92" t="s">
        <v>1171</v>
      </c>
      <c r="H602" s="45" t="s">
        <v>147</v>
      </c>
      <c r="I602" s="2" t="s">
        <v>31</v>
      </c>
      <c r="J602" s="93">
        <v>55300000</v>
      </c>
      <c r="K602" s="2" t="str">
        <f>'[1]გეგმა 2024'!C62</f>
        <v xml:space="preserve">რესტორნებისა და კვების საწარმოების მომსახურეობები </v>
      </c>
      <c r="L602" s="111" t="s">
        <v>166</v>
      </c>
      <c r="M602" s="24"/>
    </row>
    <row r="603" spans="1:13" ht="157.5">
      <c r="A603" s="21">
        <v>606</v>
      </c>
      <c r="B603" s="2" t="s">
        <v>1040</v>
      </c>
      <c r="C603" s="2" t="s">
        <v>209</v>
      </c>
      <c r="D603" s="22">
        <v>360</v>
      </c>
      <c r="E603" s="22"/>
      <c r="F603" s="22">
        <f t="shared" si="9"/>
        <v>360</v>
      </c>
      <c r="G603" s="92" t="s">
        <v>1181</v>
      </c>
      <c r="H603" s="45" t="s">
        <v>147</v>
      </c>
      <c r="I603" s="2" t="s">
        <v>31</v>
      </c>
      <c r="J603" s="93">
        <v>55300000</v>
      </c>
      <c r="K603" s="2" t="str">
        <f>'[1]გეგმა 2024'!C62</f>
        <v xml:space="preserve">რესტორნებისა და კვების საწარმოების მომსახურეობები </v>
      </c>
      <c r="L603" s="111" t="s">
        <v>166</v>
      </c>
      <c r="M603" s="24" t="s">
        <v>1182</v>
      </c>
    </row>
    <row r="604" spans="1:13" ht="157.5">
      <c r="A604" s="21">
        <v>607</v>
      </c>
      <c r="B604" s="2" t="s">
        <v>247</v>
      </c>
      <c r="C604" s="2" t="s">
        <v>209</v>
      </c>
      <c r="D604" s="22">
        <v>360</v>
      </c>
      <c r="E604" s="22"/>
      <c r="F604" s="22">
        <f t="shared" si="9"/>
        <v>360</v>
      </c>
      <c r="G604" s="92" t="s">
        <v>1181</v>
      </c>
      <c r="H604" s="45" t="s">
        <v>147</v>
      </c>
      <c r="I604" s="2" t="s">
        <v>31</v>
      </c>
      <c r="J604" s="93">
        <v>55300000</v>
      </c>
      <c r="K604" s="2" t="str">
        <f>'[1]გეგმა 2024'!C62</f>
        <v xml:space="preserve">რესტორნებისა და კვების საწარმოების მომსახურეობები </v>
      </c>
      <c r="L604" s="111" t="s">
        <v>166</v>
      </c>
      <c r="M604" s="24" t="s">
        <v>1183</v>
      </c>
    </row>
    <row r="605" spans="1:13" ht="157.5">
      <c r="A605" s="21">
        <v>608</v>
      </c>
      <c r="B605" s="2" t="s">
        <v>812</v>
      </c>
      <c r="C605" s="2" t="s">
        <v>209</v>
      </c>
      <c r="D605" s="22">
        <v>360</v>
      </c>
      <c r="E605" s="22"/>
      <c r="F605" s="22">
        <f t="shared" si="9"/>
        <v>360</v>
      </c>
      <c r="G605" s="92" t="s">
        <v>1181</v>
      </c>
      <c r="H605" s="45" t="s">
        <v>147</v>
      </c>
      <c r="I605" s="2" t="s">
        <v>31</v>
      </c>
      <c r="J605" s="93">
        <v>55300000</v>
      </c>
      <c r="K605" s="2" t="str">
        <f>'[1]გეგმა 2024'!C62</f>
        <v xml:space="preserve">რესტორნებისა და კვების საწარმოების მომსახურეობები </v>
      </c>
      <c r="L605" s="111" t="s">
        <v>166</v>
      </c>
      <c r="M605" s="24"/>
    </row>
    <row r="606" spans="1:13" ht="157.5">
      <c r="A606" s="21">
        <v>609</v>
      </c>
      <c r="B606" s="2" t="s">
        <v>1184</v>
      </c>
      <c r="C606" s="2" t="s">
        <v>209</v>
      </c>
      <c r="D606" s="22">
        <v>360</v>
      </c>
      <c r="E606" s="22"/>
      <c r="F606" s="22">
        <f t="shared" si="9"/>
        <v>360</v>
      </c>
      <c r="G606" s="92" t="s">
        <v>1181</v>
      </c>
      <c r="H606" s="45" t="s">
        <v>147</v>
      </c>
      <c r="I606" s="2" t="s">
        <v>31</v>
      </c>
      <c r="J606" s="93">
        <v>55300000</v>
      </c>
      <c r="K606" s="2" t="str">
        <f>'[1]გეგმა 2024'!C62</f>
        <v xml:space="preserve">რესტორნებისა და კვების საწარმოების მომსახურეობები </v>
      </c>
      <c r="L606" s="111" t="s">
        <v>166</v>
      </c>
      <c r="M606" s="24"/>
    </row>
    <row r="607" spans="1:13" ht="157.5">
      <c r="A607" s="21">
        <v>610</v>
      </c>
      <c r="B607" s="2" t="s">
        <v>1177</v>
      </c>
      <c r="C607" s="2" t="s">
        <v>209</v>
      </c>
      <c r="D607" s="22">
        <v>360</v>
      </c>
      <c r="E607" s="22"/>
      <c r="F607" s="22">
        <f t="shared" si="9"/>
        <v>360</v>
      </c>
      <c r="G607" s="92" t="s">
        <v>1181</v>
      </c>
      <c r="H607" s="45" t="s">
        <v>147</v>
      </c>
      <c r="I607" s="2" t="s">
        <v>31</v>
      </c>
      <c r="J607" s="93">
        <v>55300000</v>
      </c>
      <c r="K607" s="2" t="str">
        <f>'[1]გეგმა 2024'!C62</f>
        <v xml:space="preserve">რესტორნებისა და კვების საწარმოების მომსახურეობები </v>
      </c>
      <c r="L607" s="111" t="s">
        <v>166</v>
      </c>
      <c r="M607" s="24" t="s">
        <v>1185</v>
      </c>
    </row>
    <row r="608" spans="1:13" ht="157.5">
      <c r="A608" s="21">
        <v>611</v>
      </c>
      <c r="B608" s="2" t="s">
        <v>679</v>
      </c>
      <c r="C608" s="2" t="s">
        <v>313</v>
      </c>
      <c r="D608" s="22">
        <v>360</v>
      </c>
      <c r="E608" s="22"/>
      <c r="F608" s="22">
        <f t="shared" si="9"/>
        <v>360</v>
      </c>
      <c r="G608" s="92" t="s">
        <v>1181</v>
      </c>
      <c r="H608" s="45" t="s">
        <v>147</v>
      </c>
      <c r="I608" s="2" t="s">
        <v>31</v>
      </c>
      <c r="J608" s="93">
        <v>55300000</v>
      </c>
      <c r="K608" s="2" t="str">
        <f>'[1]გეგმა 2024'!C62</f>
        <v xml:space="preserve">რესტორნებისა და კვების საწარმოების მომსახურეობები </v>
      </c>
      <c r="L608" s="111" t="s">
        <v>166</v>
      </c>
      <c r="M608" s="24" t="s">
        <v>1186</v>
      </c>
    </row>
    <row r="609" spans="1:13" ht="157.5">
      <c r="A609" s="21">
        <v>612</v>
      </c>
      <c r="B609" s="2" t="s">
        <v>245</v>
      </c>
      <c r="C609" s="2" t="s">
        <v>912</v>
      </c>
      <c r="D609" s="22">
        <v>45</v>
      </c>
      <c r="E609" s="22"/>
      <c r="F609" s="22">
        <f t="shared" si="9"/>
        <v>45</v>
      </c>
      <c r="G609" s="92" t="s">
        <v>1181</v>
      </c>
      <c r="H609" s="45" t="s">
        <v>147</v>
      </c>
      <c r="I609" s="2" t="s">
        <v>31</v>
      </c>
      <c r="J609" s="101">
        <v>92500000</v>
      </c>
      <c r="K609" s="2" t="str">
        <f>'[1]გეგმა 2024'!C114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609" s="111" t="s">
        <v>166</v>
      </c>
      <c r="M609" s="24" t="s">
        <v>1187</v>
      </c>
    </row>
    <row r="610" spans="1:13" ht="157.5">
      <c r="A610" s="21">
        <v>613</v>
      </c>
      <c r="B610" s="2" t="s">
        <v>247</v>
      </c>
      <c r="C610" s="99" t="s">
        <v>273</v>
      </c>
      <c r="D610" s="22">
        <v>150</v>
      </c>
      <c r="E610" s="22"/>
      <c r="F610" s="22">
        <f t="shared" si="9"/>
        <v>150</v>
      </c>
      <c r="G610" s="92" t="s">
        <v>1181</v>
      </c>
      <c r="H610" s="45" t="s">
        <v>147</v>
      </c>
      <c r="I610" s="2" t="s">
        <v>31</v>
      </c>
      <c r="J610" s="101">
        <v>55400000</v>
      </c>
      <c r="K610" s="2" t="str">
        <f>'[1]გეგმა 2024'!C63</f>
        <v>სასმელების მიტანის მომსახურება</v>
      </c>
      <c r="L610" s="111" t="s">
        <v>166</v>
      </c>
      <c r="M610" s="24" t="s">
        <v>1188</v>
      </c>
    </row>
    <row r="611" spans="1:13" ht="157.5">
      <c r="A611" s="21">
        <v>614</v>
      </c>
      <c r="B611" s="2" t="s">
        <v>316</v>
      </c>
      <c r="C611" s="2" t="s">
        <v>273</v>
      </c>
      <c r="D611" s="22">
        <v>300</v>
      </c>
      <c r="E611" s="22"/>
      <c r="F611" s="22">
        <f t="shared" si="9"/>
        <v>300</v>
      </c>
      <c r="G611" s="92" t="s">
        <v>1181</v>
      </c>
      <c r="H611" s="45" t="s">
        <v>147</v>
      </c>
      <c r="I611" s="2" t="s">
        <v>31</v>
      </c>
      <c r="J611" s="101">
        <v>55400000</v>
      </c>
      <c r="K611" s="2" t="str">
        <f>'[1]გეგმა 2024'!C63</f>
        <v>სასმელების მიტანის მომსახურება</v>
      </c>
      <c r="L611" s="111" t="s">
        <v>166</v>
      </c>
      <c r="M611" s="24"/>
    </row>
    <row r="612" spans="1:13" ht="157.5">
      <c r="A612" s="21">
        <v>615</v>
      </c>
      <c r="B612" s="2" t="s">
        <v>911</v>
      </c>
      <c r="C612" s="2" t="s">
        <v>912</v>
      </c>
      <c r="D612" s="22">
        <v>110</v>
      </c>
      <c r="E612" s="22"/>
      <c r="F612" s="22">
        <f t="shared" si="9"/>
        <v>110</v>
      </c>
      <c r="G612" s="92" t="s">
        <v>1181</v>
      </c>
      <c r="H612" s="45" t="s">
        <v>147</v>
      </c>
      <c r="I612" s="2" t="s">
        <v>31</v>
      </c>
      <c r="J612" s="101">
        <v>92500000</v>
      </c>
      <c r="K612" s="2" t="str">
        <f>'[1]გეგმა 2024'!C114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612" s="111" t="s">
        <v>166</v>
      </c>
      <c r="M612" s="24"/>
    </row>
    <row r="613" spans="1:13" ht="157.5">
      <c r="A613" s="21">
        <v>616</v>
      </c>
      <c r="B613" s="2" t="s">
        <v>200</v>
      </c>
      <c r="C613" s="2" t="s">
        <v>165</v>
      </c>
      <c r="D613" s="22">
        <v>1594</v>
      </c>
      <c r="E613" s="22"/>
      <c r="F613" s="22">
        <f t="shared" si="9"/>
        <v>1594</v>
      </c>
      <c r="G613" s="92" t="s">
        <v>1189</v>
      </c>
      <c r="H613" s="45" t="s">
        <v>147</v>
      </c>
      <c r="I613" s="2" t="s">
        <v>31</v>
      </c>
      <c r="J613" s="101">
        <v>60400000</v>
      </c>
      <c r="K613" s="2" t="str">
        <f>'[1]გეგმა 2024'!C65</f>
        <v>საჰაერო ტრანსპორტის მომსახურებები</v>
      </c>
      <c r="L613" s="111" t="s">
        <v>166</v>
      </c>
      <c r="M613" s="24"/>
    </row>
    <row r="614" spans="1:13" ht="157.5">
      <c r="A614" s="21">
        <v>617</v>
      </c>
      <c r="B614" s="2" t="s">
        <v>164</v>
      </c>
      <c r="C614" s="2" t="s">
        <v>165</v>
      </c>
      <c r="D614" s="22">
        <v>1730</v>
      </c>
      <c r="E614" s="22"/>
      <c r="F614" s="22">
        <f t="shared" si="9"/>
        <v>1730</v>
      </c>
      <c r="G614" s="92" t="s">
        <v>1189</v>
      </c>
      <c r="H614" s="45" t="s">
        <v>147</v>
      </c>
      <c r="I614" s="2" t="s">
        <v>31</v>
      </c>
      <c r="J614" s="101">
        <v>60400000</v>
      </c>
      <c r="K614" s="2" t="str">
        <f>'[1]გეგმა 2024'!C65</f>
        <v>საჰაერო ტრანსპორტის მომსახურებები</v>
      </c>
      <c r="L614" s="111" t="s">
        <v>166</v>
      </c>
      <c r="M614" s="24" t="s">
        <v>1190</v>
      </c>
    </row>
    <row r="615" spans="1:13" ht="157.5">
      <c r="A615" s="21">
        <v>618</v>
      </c>
      <c r="B615" s="2" t="s">
        <v>1176</v>
      </c>
      <c r="C615" s="2" t="s">
        <v>207</v>
      </c>
      <c r="D615" s="22">
        <v>2200</v>
      </c>
      <c r="E615" s="22"/>
      <c r="F615" s="22">
        <f t="shared" si="9"/>
        <v>2200</v>
      </c>
      <c r="G615" s="92" t="s">
        <v>1189</v>
      </c>
      <c r="H615" s="45" t="s">
        <v>147</v>
      </c>
      <c r="I615" s="2" t="s">
        <v>31</v>
      </c>
      <c r="J615" s="93">
        <v>55100000</v>
      </c>
      <c r="K615" s="2" t="str">
        <f>'[1]გეგმა 2024'!C59</f>
        <v>სასტუმროს მომსახურება</v>
      </c>
      <c r="L615" s="111" t="s">
        <v>166</v>
      </c>
      <c r="M615" s="24"/>
    </row>
    <row r="616" spans="1:13" ht="157.5">
      <c r="A616" s="21">
        <v>619</v>
      </c>
      <c r="B616" s="2" t="s">
        <v>1191</v>
      </c>
      <c r="C616" s="22" t="s">
        <v>1192</v>
      </c>
      <c r="D616" s="22">
        <v>1468.78</v>
      </c>
      <c r="E616" s="22"/>
      <c r="F616" s="22">
        <f t="shared" si="9"/>
        <v>1468.78</v>
      </c>
      <c r="G616" s="92" t="s">
        <v>1193</v>
      </c>
      <c r="H616" s="45" t="s">
        <v>147</v>
      </c>
      <c r="I616" s="2" t="s">
        <v>31</v>
      </c>
      <c r="J616" s="101">
        <v>39200000</v>
      </c>
      <c r="K616" s="2" t="str">
        <f>'[1]გეგმა 2024'!C37</f>
        <v>ჭიქები</v>
      </c>
      <c r="L616" s="111" t="s">
        <v>166</v>
      </c>
      <c r="M616" s="24"/>
    </row>
    <row r="617" spans="1:13" ht="157.5">
      <c r="A617" s="21">
        <v>620</v>
      </c>
      <c r="B617" s="2" t="s">
        <v>917</v>
      </c>
      <c r="C617" s="2" t="s">
        <v>273</v>
      </c>
      <c r="D617" s="22">
        <v>150</v>
      </c>
      <c r="E617" s="22"/>
      <c r="F617" s="22">
        <f t="shared" si="9"/>
        <v>150</v>
      </c>
      <c r="G617" s="92" t="s">
        <v>1193</v>
      </c>
      <c r="H617" s="45" t="s">
        <v>147</v>
      </c>
      <c r="I617" s="2" t="s">
        <v>31</v>
      </c>
      <c r="J617" s="101">
        <v>55400000</v>
      </c>
      <c r="K617" s="2" t="str">
        <f>'[1]გეგმა 2024'!C63</f>
        <v>სასმელების მიტანის მომსახურება</v>
      </c>
      <c r="L617" s="111" t="s">
        <v>166</v>
      </c>
      <c r="M617" s="24"/>
    </row>
    <row r="618" spans="1:13" ht="157.5">
      <c r="A618" s="21">
        <v>621</v>
      </c>
      <c r="B618" s="2" t="s">
        <v>917</v>
      </c>
      <c r="C618" s="2" t="s">
        <v>209</v>
      </c>
      <c r="D618" s="22">
        <v>360</v>
      </c>
      <c r="E618" s="22"/>
      <c r="F618" s="22">
        <f t="shared" si="9"/>
        <v>360</v>
      </c>
      <c r="G618" s="92" t="s">
        <v>1193</v>
      </c>
      <c r="H618" s="45" t="s">
        <v>147</v>
      </c>
      <c r="I618" s="2" t="s">
        <v>31</v>
      </c>
      <c r="J618" s="93">
        <v>55300000</v>
      </c>
      <c r="K618" s="2" t="str">
        <f>'[1]გეგმა 2024'!C62</f>
        <v xml:space="preserve">რესტორნებისა და კვების საწარმოების მომსახურეობები </v>
      </c>
      <c r="L618" s="111" t="s">
        <v>166</v>
      </c>
      <c r="M618" s="24"/>
    </row>
    <row r="619" spans="1:13" ht="157.5">
      <c r="A619" s="21">
        <v>622</v>
      </c>
      <c r="B619" s="2" t="s">
        <v>1194</v>
      </c>
      <c r="C619" s="2" t="s">
        <v>912</v>
      </c>
      <c r="D619" s="22">
        <v>120</v>
      </c>
      <c r="E619" s="22"/>
      <c r="F619" s="22">
        <f t="shared" si="9"/>
        <v>120</v>
      </c>
      <c r="G619" s="92" t="s">
        <v>1195</v>
      </c>
      <c r="H619" s="45" t="s">
        <v>147</v>
      </c>
      <c r="I619" s="2" t="s">
        <v>31</v>
      </c>
      <c r="J619" s="101">
        <v>92500000</v>
      </c>
      <c r="K619" s="2" t="str">
        <f>'[1]გეგმა 2024'!C114</f>
        <v>ბიბლიოთეკების, არქივების, მუზეუმებისა და სხვა კულტურული დაწესებულებების მომსახურებები</v>
      </c>
      <c r="L619" s="111" t="s">
        <v>166</v>
      </c>
      <c r="M619" s="24"/>
    </row>
    <row r="620" spans="1:13" ht="157.5">
      <c r="A620" s="21">
        <v>623</v>
      </c>
      <c r="B620" s="2" t="s">
        <v>1196</v>
      </c>
      <c r="C620" s="2" t="s">
        <v>209</v>
      </c>
      <c r="D620" s="22">
        <v>360</v>
      </c>
      <c r="E620" s="22"/>
      <c r="F620" s="22">
        <f t="shared" ref="F620:F645" si="10">D620-E620</f>
        <v>360</v>
      </c>
      <c r="G620" s="92" t="s">
        <v>1195</v>
      </c>
      <c r="H620" s="45" t="s">
        <v>147</v>
      </c>
      <c r="I620" s="2" t="s">
        <v>31</v>
      </c>
      <c r="J620" s="93">
        <v>55300000</v>
      </c>
      <c r="K620" s="2" t="str">
        <f>'[1]გეგმა 2024'!C62</f>
        <v xml:space="preserve">რესტორნებისა და კვების საწარმოების მომსახურეობები </v>
      </c>
      <c r="L620" s="111" t="s">
        <v>166</v>
      </c>
      <c r="M620" s="24"/>
    </row>
    <row r="621" spans="1:13" ht="157.5">
      <c r="A621" s="21">
        <v>624</v>
      </c>
      <c r="B621" s="2" t="s">
        <v>1197</v>
      </c>
      <c r="C621" s="2" t="s">
        <v>209</v>
      </c>
      <c r="D621" s="22">
        <v>360</v>
      </c>
      <c r="E621" s="22"/>
      <c r="F621" s="22">
        <f t="shared" si="10"/>
        <v>360</v>
      </c>
      <c r="G621" s="92" t="s">
        <v>1195</v>
      </c>
      <c r="H621" s="45" t="s">
        <v>147</v>
      </c>
      <c r="I621" s="2" t="s">
        <v>31</v>
      </c>
      <c r="J621" s="93">
        <v>55300000</v>
      </c>
      <c r="K621" s="2" t="str">
        <f>'[1]გეგმა 2024'!C62</f>
        <v xml:space="preserve">რესტორნებისა და კვების საწარმოების მომსახურეობები </v>
      </c>
      <c r="L621" s="111" t="s">
        <v>166</v>
      </c>
      <c r="M621" s="98"/>
    </row>
    <row r="622" spans="1:13" ht="157.5">
      <c r="A622" s="21">
        <v>625</v>
      </c>
      <c r="B622" s="2" t="s">
        <v>1198</v>
      </c>
      <c r="C622" s="2" t="s">
        <v>209</v>
      </c>
      <c r="D622" s="22">
        <v>360</v>
      </c>
      <c r="E622" s="22"/>
      <c r="F622" s="22">
        <f t="shared" si="10"/>
        <v>360</v>
      </c>
      <c r="G622" s="92" t="s">
        <v>1195</v>
      </c>
      <c r="H622" s="45" t="s">
        <v>147</v>
      </c>
      <c r="I622" s="2" t="s">
        <v>31</v>
      </c>
      <c r="J622" s="93">
        <v>55300000</v>
      </c>
      <c r="K622" s="2" t="str">
        <f>'[1]გეგმა 2024'!C62</f>
        <v xml:space="preserve">რესტორნებისა და კვების საწარმოების მომსახურეობები </v>
      </c>
      <c r="L622" s="111" t="s">
        <v>166</v>
      </c>
      <c r="M622" s="24"/>
    </row>
    <row r="623" spans="1:13" ht="157.5">
      <c r="A623" s="21">
        <v>626</v>
      </c>
      <c r="B623" s="2" t="s">
        <v>1199</v>
      </c>
      <c r="C623" s="2" t="s">
        <v>209</v>
      </c>
      <c r="D623" s="22">
        <v>360</v>
      </c>
      <c r="E623" s="22"/>
      <c r="F623" s="22">
        <f t="shared" si="10"/>
        <v>360</v>
      </c>
      <c r="G623" s="92" t="s">
        <v>1195</v>
      </c>
      <c r="H623" s="45" t="s">
        <v>147</v>
      </c>
      <c r="I623" s="2" t="s">
        <v>31</v>
      </c>
      <c r="J623" s="93">
        <v>55300000</v>
      </c>
      <c r="K623" s="2" t="str">
        <f>'[1]გეგმა 2024'!C62</f>
        <v xml:space="preserve">რესტორნებისა და კვების საწარმოების მომსახურეობები </v>
      </c>
      <c r="L623" s="111" t="s">
        <v>166</v>
      </c>
      <c r="M623" s="24"/>
    </row>
    <row r="624" spans="1:13" ht="157.5">
      <c r="A624" s="21">
        <v>627</v>
      </c>
      <c r="B624" s="2" t="s">
        <v>1200</v>
      </c>
      <c r="C624" s="2" t="s">
        <v>209</v>
      </c>
      <c r="D624" s="22">
        <v>600</v>
      </c>
      <c r="E624" s="22"/>
      <c r="F624" s="22">
        <f t="shared" si="10"/>
        <v>600</v>
      </c>
      <c r="G624" s="92" t="s">
        <v>1195</v>
      </c>
      <c r="H624" s="45" t="s">
        <v>147</v>
      </c>
      <c r="I624" s="2" t="s">
        <v>31</v>
      </c>
      <c r="J624" s="93">
        <v>55300000</v>
      </c>
      <c r="K624" s="2" t="str">
        <f>'[1]გეგმა 2024'!C62</f>
        <v xml:space="preserve">რესტორნებისა და კვების საწარმოების მომსახურეობები </v>
      </c>
      <c r="L624" s="111" t="s">
        <v>166</v>
      </c>
      <c r="M624" s="24"/>
    </row>
    <row r="625" spans="1:13" ht="157.5">
      <c r="A625" s="21">
        <v>628</v>
      </c>
      <c r="B625" s="2" t="s">
        <v>1201</v>
      </c>
      <c r="C625" s="2" t="s">
        <v>207</v>
      </c>
      <c r="D625" s="22">
        <v>747</v>
      </c>
      <c r="E625" s="22"/>
      <c r="F625" s="22">
        <f t="shared" si="10"/>
        <v>747</v>
      </c>
      <c r="G625" s="92" t="s">
        <v>1195</v>
      </c>
      <c r="H625" s="45" t="s">
        <v>147</v>
      </c>
      <c r="I625" s="2" t="s">
        <v>31</v>
      </c>
      <c r="J625" s="93">
        <v>55100000</v>
      </c>
      <c r="K625" s="2" t="str">
        <f>'[1]გეგმა 2024'!C59</f>
        <v>სასტუმროს მომსახურება</v>
      </c>
      <c r="L625" s="111" t="s">
        <v>166</v>
      </c>
      <c r="M625" s="24"/>
    </row>
    <row r="626" spans="1:13" ht="157.5">
      <c r="A626" s="21">
        <v>629</v>
      </c>
      <c r="B626" s="2" t="s">
        <v>379</v>
      </c>
      <c r="C626" s="2" t="s">
        <v>207</v>
      </c>
      <c r="D626" s="22">
        <v>735</v>
      </c>
      <c r="E626" s="22"/>
      <c r="F626" s="22">
        <f t="shared" si="10"/>
        <v>735</v>
      </c>
      <c r="G626" s="92" t="s">
        <v>1195</v>
      </c>
      <c r="H626" s="45" t="s">
        <v>147</v>
      </c>
      <c r="I626" s="2" t="s">
        <v>31</v>
      </c>
      <c r="J626" s="93">
        <v>55100000</v>
      </c>
      <c r="K626" s="2" t="str">
        <f>'[1]გეგმა 2024'!C59</f>
        <v>სასტუმროს მომსახურება</v>
      </c>
      <c r="L626" s="111" t="s">
        <v>166</v>
      </c>
      <c r="M626" s="24"/>
    </row>
    <row r="627" spans="1:13" ht="157.5">
      <c r="A627" s="21">
        <v>630</v>
      </c>
      <c r="B627" s="2" t="s">
        <v>904</v>
      </c>
      <c r="C627" s="2" t="s">
        <v>188</v>
      </c>
      <c r="D627" s="22">
        <v>13200</v>
      </c>
      <c r="E627" s="22"/>
      <c r="F627" s="22">
        <f t="shared" si="10"/>
        <v>13200</v>
      </c>
      <c r="G627" s="92" t="s">
        <v>1195</v>
      </c>
      <c r="H627" s="45" t="s">
        <v>147</v>
      </c>
      <c r="I627" s="2" t="s">
        <v>31</v>
      </c>
      <c r="J627" s="101">
        <v>60100000</v>
      </c>
      <c r="K627" s="2" t="str">
        <f>'[1]გეგმა 2024'!C64</f>
        <v xml:space="preserve"> საავტომობილო ტრანსპორტის მომსახურებები</v>
      </c>
      <c r="L627" s="111" t="s">
        <v>166</v>
      </c>
      <c r="M627" s="24" t="s">
        <v>1202</v>
      </c>
    </row>
    <row r="628" spans="1:13" ht="157.5">
      <c r="A628" s="21">
        <v>631</v>
      </c>
      <c r="B628" s="2" t="s">
        <v>904</v>
      </c>
      <c r="C628" s="2" t="s">
        <v>240</v>
      </c>
      <c r="D628" s="22">
        <v>4800</v>
      </c>
      <c r="E628" s="22"/>
      <c r="F628" s="22">
        <f t="shared" si="10"/>
        <v>4800</v>
      </c>
      <c r="G628" s="92" t="s">
        <v>1195</v>
      </c>
      <c r="H628" s="45" t="s">
        <v>147</v>
      </c>
      <c r="I628" s="2" t="s">
        <v>31</v>
      </c>
      <c r="J628" s="101">
        <v>63500000</v>
      </c>
      <c r="K628" s="2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628" s="111" t="s">
        <v>166</v>
      </c>
      <c r="M628" s="24" t="s">
        <v>1203</v>
      </c>
    </row>
    <row r="629" spans="1:13" ht="157.5">
      <c r="A629" s="21">
        <v>632</v>
      </c>
      <c r="B629" s="2" t="s">
        <v>284</v>
      </c>
      <c r="C629" s="2" t="s">
        <v>188</v>
      </c>
      <c r="D629" s="22">
        <v>39780</v>
      </c>
      <c r="E629" s="22"/>
      <c r="F629" s="22">
        <f t="shared" si="10"/>
        <v>39780</v>
      </c>
      <c r="G629" s="92" t="s">
        <v>1195</v>
      </c>
      <c r="H629" s="45" t="s">
        <v>147</v>
      </c>
      <c r="I629" s="2" t="s">
        <v>31</v>
      </c>
      <c r="J629" s="101">
        <v>60100000</v>
      </c>
      <c r="K629" s="2" t="str">
        <f>'[1]გეგმა 2024'!C64</f>
        <v xml:space="preserve"> საავტომობილო ტრანსპორტის მომსახურებები</v>
      </c>
      <c r="L629" s="111" t="s">
        <v>166</v>
      </c>
      <c r="M629" s="24"/>
    </row>
    <row r="630" spans="1:13" ht="157.5">
      <c r="A630" s="21">
        <v>633</v>
      </c>
      <c r="B630" s="2" t="s">
        <v>887</v>
      </c>
      <c r="C630" s="2" t="s">
        <v>240</v>
      </c>
      <c r="D630" s="22">
        <v>350</v>
      </c>
      <c r="E630" s="22"/>
      <c r="F630" s="22">
        <f t="shared" si="10"/>
        <v>350</v>
      </c>
      <c r="G630" s="92" t="s">
        <v>1195</v>
      </c>
      <c r="H630" s="45" t="s">
        <v>147</v>
      </c>
      <c r="I630" s="2" t="s">
        <v>31</v>
      </c>
      <c r="J630" s="101">
        <v>63500000</v>
      </c>
      <c r="K630" s="2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630" s="111" t="s">
        <v>166</v>
      </c>
      <c r="M630" s="24"/>
    </row>
    <row r="631" spans="1:13" ht="157.5">
      <c r="A631" s="21">
        <v>634</v>
      </c>
      <c r="B631" s="2" t="s">
        <v>387</v>
      </c>
      <c r="C631" s="2" t="s">
        <v>240</v>
      </c>
      <c r="D631" s="22">
        <v>350</v>
      </c>
      <c r="E631" s="22"/>
      <c r="F631" s="22">
        <f t="shared" si="10"/>
        <v>350</v>
      </c>
      <c r="G631" s="92" t="s">
        <v>1195</v>
      </c>
      <c r="H631" s="45" t="s">
        <v>147</v>
      </c>
      <c r="I631" s="2" t="s">
        <v>31</v>
      </c>
      <c r="J631" s="101">
        <v>63500000</v>
      </c>
      <c r="K631" s="2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631" s="111" t="s">
        <v>166</v>
      </c>
      <c r="M631" s="24"/>
    </row>
    <row r="632" spans="1:13" ht="157.5">
      <c r="A632" s="21">
        <v>635</v>
      </c>
      <c r="B632" s="2" t="s">
        <v>1140</v>
      </c>
      <c r="C632" s="2" t="s">
        <v>207</v>
      </c>
      <c r="D632" s="22">
        <v>1800</v>
      </c>
      <c r="E632" s="22"/>
      <c r="F632" s="22">
        <f t="shared" si="10"/>
        <v>1800</v>
      </c>
      <c r="G632" s="92" t="s">
        <v>1195</v>
      </c>
      <c r="H632" s="45" t="s">
        <v>147</v>
      </c>
      <c r="I632" s="2" t="s">
        <v>31</v>
      </c>
      <c r="J632" s="93">
        <v>55100000</v>
      </c>
      <c r="K632" s="2" t="str">
        <f>'[1]გეგმა 2024'!C59</f>
        <v>სასტუმროს მომსახურება</v>
      </c>
      <c r="L632" s="111" t="s">
        <v>166</v>
      </c>
      <c r="M632" s="24"/>
    </row>
    <row r="633" spans="1:13" ht="157.5">
      <c r="A633" s="21">
        <v>636</v>
      </c>
      <c r="B633" s="2" t="s">
        <v>1204</v>
      </c>
      <c r="C633" s="2" t="s">
        <v>209</v>
      </c>
      <c r="D633" s="22">
        <v>360</v>
      </c>
      <c r="E633" s="22"/>
      <c r="F633" s="22">
        <f t="shared" si="10"/>
        <v>360</v>
      </c>
      <c r="G633" s="92" t="s">
        <v>1205</v>
      </c>
      <c r="H633" s="45" t="s">
        <v>147</v>
      </c>
      <c r="I633" s="2" t="s">
        <v>31</v>
      </c>
      <c r="J633" s="93">
        <v>55300000</v>
      </c>
      <c r="K633" s="2" t="str">
        <f>'[1]გეგმა 2024'!C62</f>
        <v xml:space="preserve">რესტორნებისა და კვების საწარმოების მომსახურეობები </v>
      </c>
      <c r="L633" s="111" t="s">
        <v>166</v>
      </c>
      <c r="M633" s="24"/>
    </row>
    <row r="634" spans="1:13" ht="157.5">
      <c r="A634" s="21">
        <v>637</v>
      </c>
      <c r="B634" s="2" t="s">
        <v>416</v>
      </c>
      <c r="C634" s="2" t="s">
        <v>207</v>
      </c>
      <c r="D634" s="22">
        <v>38643.199999999997</v>
      </c>
      <c r="E634" s="22"/>
      <c r="F634" s="22">
        <f t="shared" si="10"/>
        <v>38643.199999999997</v>
      </c>
      <c r="G634" s="92" t="s">
        <v>1205</v>
      </c>
      <c r="H634" s="45" t="s">
        <v>147</v>
      </c>
      <c r="I634" s="2" t="s">
        <v>31</v>
      </c>
      <c r="J634" s="93">
        <v>55100000</v>
      </c>
      <c r="K634" s="2" t="str">
        <f>'[1]გეგმა 2024'!C59</f>
        <v>სასტუმროს მომსახურება</v>
      </c>
      <c r="L634" s="111" t="s">
        <v>166</v>
      </c>
      <c r="M634" s="24"/>
    </row>
    <row r="635" spans="1:13" ht="157.5">
      <c r="A635" s="21">
        <v>638</v>
      </c>
      <c r="B635" s="122" t="s">
        <v>1206</v>
      </c>
      <c r="C635" s="122" t="s">
        <v>240</v>
      </c>
      <c r="D635" s="22">
        <v>470</v>
      </c>
      <c r="E635" s="22"/>
      <c r="F635" s="22">
        <f t="shared" si="10"/>
        <v>470</v>
      </c>
      <c r="G635" s="92" t="s">
        <v>1205</v>
      </c>
      <c r="H635" s="45" t="s">
        <v>147</v>
      </c>
      <c r="I635" s="2" t="s">
        <v>31</v>
      </c>
      <c r="J635" s="101">
        <v>63500000</v>
      </c>
      <c r="K635" s="2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635" s="111" t="s">
        <v>166</v>
      </c>
      <c r="M635" s="24"/>
    </row>
    <row r="636" spans="1:13" ht="157.5">
      <c r="A636" s="21">
        <v>639</v>
      </c>
      <c r="B636" s="2" t="s">
        <v>416</v>
      </c>
      <c r="C636" s="122" t="s">
        <v>290</v>
      </c>
      <c r="D636" s="22">
        <v>9939.2000000000007</v>
      </c>
      <c r="E636" s="22"/>
      <c r="F636" s="22">
        <f t="shared" si="10"/>
        <v>9939.2000000000007</v>
      </c>
      <c r="G636" s="92" t="s">
        <v>1205</v>
      </c>
      <c r="H636" s="45" t="s">
        <v>147</v>
      </c>
      <c r="I636" s="2" t="s">
        <v>31</v>
      </c>
      <c r="J636" s="93">
        <v>55300000</v>
      </c>
      <c r="K636" s="2" t="str">
        <f>'[1]გეგმა 2024'!C62</f>
        <v xml:space="preserve">რესტორნებისა და კვების საწარმოების მომსახურეობები </v>
      </c>
      <c r="L636" s="111" t="s">
        <v>166</v>
      </c>
      <c r="M636" s="24"/>
    </row>
    <row r="637" spans="1:13" ht="157.5">
      <c r="A637" s="21">
        <v>640</v>
      </c>
      <c r="B637" s="2" t="s">
        <v>286</v>
      </c>
      <c r="C637" s="2" t="s">
        <v>209</v>
      </c>
      <c r="D637" s="22">
        <v>440</v>
      </c>
      <c r="E637" s="22"/>
      <c r="F637" s="22">
        <f t="shared" si="10"/>
        <v>440</v>
      </c>
      <c r="G637" s="92" t="s">
        <v>1205</v>
      </c>
      <c r="H637" s="45" t="s">
        <v>147</v>
      </c>
      <c r="I637" s="2" t="s">
        <v>31</v>
      </c>
      <c r="J637" s="93">
        <v>55300000</v>
      </c>
      <c r="K637" s="2" t="str">
        <f>'[1]გეგმა 2024'!C62</f>
        <v xml:space="preserve">რესტორნებისა და კვების საწარმოების მომსახურეობები </v>
      </c>
      <c r="L637" s="111" t="s">
        <v>166</v>
      </c>
      <c r="M637" s="24"/>
    </row>
    <row r="638" spans="1:13" ht="157.5">
      <c r="A638" s="21">
        <v>641</v>
      </c>
      <c r="B638" s="2" t="s">
        <v>300</v>
      </c>
      <c r="C638" s="2" t="s">
        <v>209</v>
      </c>
      <c r="D638" s="22">
        <v>660</v>
      </c>
      <c r="E638" s="22"/>
      <c r="F638" s="22">
        <f t="shared" si="10"/>
        <v>660</v>
      </c>
      <c r="G638" s="92" t="s">
        <v>1205</v>
      </c>
      <c r="H638" s="45" t="s">
        <v>147</v>
      </c>
      <c r="I638" s="2" t="s">
        <v>31</v>
      </c>
      <c r="J638" s="93">
        <v>55300000</v>
      </c>
      <c r="K638" s="2" t="str">
        <f>'[1]გეგმა 2024'!C62</f>
        <v xml:space="preserve">რესტორნებისა და კვების საწარმოების მომსახურეობები </v>
      </c>
      <c r="L638" s="111" t="s">
        <v>166</v>
      </c>
      <c r="M638" s="24"/>
    </row>
    <row r="639" spans="1:13" ht="157.5">
      <c r="A639" s="21">
        <v>642</v>
      </c>
      <c r="B639" s="2" t="s">
        <v>1207</v>
      </c>
      <c r="C639" s="2" t="s">
        <v>209</v>
      </c>
      <c r="D639" s="22">
        <v>220</v>
      </c>
      <c r="E639" s="22"/>
      <c r="F639" s="22">
        <f t="shared" si="10"/>
        <v>220</v>
      </c>
      <c r="G639" s="92" t="s">
        <v>1205</v>
      </c>
      <c r="H639" s="45" t="s">
        <v>147</v>
      </c>
      <c r="I639" s="2" t="s">
        <v>31</v>
      </c>
      <c r="J639" s="93">
        <v>55300000</v>
      </c>
      <c r="K639" s="2" t="str">
        <f>'[1]გეგმა 2024'!C62</f>
        <v xml:space="preserve">რესტორნებისა და კვების საწარმოების მომსახურეობები </v>
      </c>
      <c r="L639" s="111" t="s">
        <v>166</v>
      </c>
      <c r="M639" s="24"/>
    </row>
    <row r="640" spans="1:13" ht="157.5">
      <c r="A640" s="21">
        <v>643</v>
      </c>
      <c r="B640" s="2" t="s">
        <v>387</v>
      </c>
      <c r="C640" s="2" t="s">
        <v>240</v>
      </c>
      <c r="D640" s="22">
        <v>840</v>
      </c>
      <c r="E640" s="22"/>
      <c r="F640" s="22">
        <f t="shared" si="10"/>
        <v>840</v>
      </c>
      <c r="G640" s="92" t="s">
        <v>1205</v>
      </c>
      <c r="H640" s="45" t="s">
        <v>147</v>
      </c>
      <c r="I640" s="2" t="s">
        <v>31</v>
      </c>
      <c r="J640" s="101">
        <v>63500000</v>
      </c>
      <c r="K640" s="2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640" s="111" t="s">
        <v>166</v>
      </c>
      <c r="M640" s="24"/>
    </row>
    <row r="641" spans="1:13" ht="157.5">
      <c r="A641" s="21">
        <v>644</v>
      </c>
      <c r="B641" s="2" t="s">
        <v>253</v>
      </c>
      <c r="C641" s="2" t="s">
        <v>240</v>
      </c>
      <c r="D641" s="22">
        <v>330</v>
      </c>
      <c r="E641" s="22"/>
      <c r="F641" s="22">
        <f t="shared" si="10"/>
        <v>330</v>
      </c>
      <c r="G641" s="92" t="s">
        <v>1205</v>
      </c>
      <c r="H641" s="45" t="s">
        <v>147</v>
      </c>
      <c r="I641" s="2" t="s">
        <v>31</v>
      </c>
      <c r="J641" s="101">
        <v>63500000</v>
      </c>
      <c r="K641" s="2" t="str">
        <f>'[1]გეგმა 2024'!C68</f>
        <v>ტურისტული სააგენტოების, ტუროპერატორებისა და ტურისტების დახმარების მომსახურებები</v>
      </c>
      <c r="L641" s="111" t="s">
        <v>166</v>
      </c>
      <c r="M641" s="24"/>
    </row>
    <row r="642" spans="1:13" ht="157.5">
      <c r="A642" s="21">
        <v>645</v>
      </c>
      <c r="B642" s="2" t="s">
        <v>1208</v>
      </c>
      <c r="C642" s="2" t="s">
        <v>1209</v>
      </c>
      <c r="D642" s="22">
        <v>14214</v>
      </c>
      <c r="E642" s="22"/>
      <c r="F642" s="22">
        <f t="shared" si="10"/>
        <v>14214</v>
      </c>
      <c r="G642" s="92" t="s">
        <v>1205</v>
      </c>
      <c r="H642" s="45" t="s">
        <v>147</v>
      </c>
      <c r="I642" s="2" t="s">
        <v>31</v>
      </c>
      <c r="J642" s="93">
        <v>92300000</v>
      </c>
      <c r="K642" s="2" t="str">
        <f>'[1]გეგმა 2024'!C111</f>
        <v>გასართობი მომსახურებები-</v>
      </c>
      <c r="L642" s="111" t="s">
        <v>166</v>
      </c>
      <c r="M642" s="24"/>
    </row>
    <row r="643" spans="1:13" ht="157.5">
      <c r="A643" s="21">
        <v>646</v>
      </c>
      <c r="B643" s="2" t="s">
        <v>1210</v>
      </c>
      <c r="C643" s="2" t="s">
        <v>1209</v>
      </c>
      <c r="D643" s="22">
        <v>27436</v>
      </c>
      <c r="E643" s="22"/>
      <c r="F643" s="22">
        <f t="shared" si="10"/>
        <v>27436</v>
      </c>
      <c r="G643" s="92" t="s">
        <v>1205</v>
      </c>
      <c r="H643" s="45" t="s">
        <v>147</v>
      </c>
      <c r="I643" s="2" t="s">
        <v>31</v>
      </c>
      <c r="J643" s="93">
        <v>92300000</v>
      </c>
      <c r="K643" s="2" t="str">
        <f>'[1]გეგმა 2024'!C111</f>
        <v>გასართობი მომსახურებები-</v>
      </c>
      <c r="L643" s="111" t="s">
        <v>166</v>
      </c>
      <c r="M643" s="24"/>
    </row>
    <row r="644" spans="1:13" ht="157.5">
      <c r="A644" s="21">
        <v>647</v>
      </c>
      <c r="B644" s="2" t="s">
        <v>1211</v>
      </c>
      <c r="C644" s="2" t="s">
        <v>1209</v>
      </c>
      <c r="D644" s="22">
        <v>740</v>
      </c>
      <c r="E644" s="22"/>
      <c r="F644" s="22">
        <f t="shared" si="10"/>
        <v>740</v>
      </c>
      <c r="G644" s="92" t="s">
        <v>1205</v>
      </c>
      <c r="H644" s="45" t="s">
        <v>147</v>
      </c>
      <c r="I644" s="2" t="s">
        <v>31</v>
      </c>
      <c r="J644" s="93">
        <v>92300000</v>
      </c>
      <c r="K644" s="2" t="str">
        <f>'[1]გეგმა 2024'!C111</f>
        <v>გასართობი მომსახურებები-</v>
      </c>
      <c r="L644" s="111" t="s">
        <v>166</v>
      </c>
      <c r="M644" s="24"/>
    </row>
    <row r="645" spans="1:13" ht="157.5">
      <c r="A645" s="21">
        <v>648</v>
      </c>
      <c r="B645" s="2" t="s">
        <v>1212</v>
      </c>
      <c r="C645" s="2" t="s">
        <v>1209</v>
      </c>
      <c r="D645" s="22">
        <v>13500</v>
      </c>
      <c r="E645" s="22"/>
      <c r="F645" s="22">
        <f t="shared" si="10"/>
        <v>13500</v>
      </c>
      <c r="G645" s="92" t="s">
        <v>1205</v>
      </c>
      <c r="H645" s="45" t="s">
        <v>147</v>
      </c>
      <c r="I645" s="2" t="s">
        <v>31</v>
      </c>
      <c r="J645" s="93">
        <v>92300000</v>
      </c>
      <c r="K645" s="2" t="str">
        <f>'[1]გეგმა 2024'!C111</f>
        <v>გასართობი მომსახურებები-</v>
      </c>
      <c r="L645" s="111" t="s">
        <v>166</v>
      </c>
      <c r="M645" s="24"/>
    </row>
  </sheetData>
  <mergeCells count="2">
    <mergeCell ref="A1:M1"/>
    <mergeCell ref="G2:H2"/>
  </mergeCells>
  <conditionalFormatting sqref="G195:I195">
    <cfRule type="duplicateValues" dxfId="16" priority="1"/>
  </conditionalFormatting>
  <conditionalFormatting sqref="G179:I179">
    <cfRule type="duplicateValues" dxfId="15" priority="17"/>
  </conditionalFormatting>
  <conditionalFormatting sqref="G180:I180">
    <cfRule type="duplicateValues" dxfId="14" priority="16"/>
  </conditionalFormatting>
  <conditionalFormatting sqref="G181:I181">
    <cfRule type="duplicateValues" dxfId="13" priority="15"/>
  </conditionalFormatting>
  <conditionalFormatting sqref="G182:I182">
    <cfRule type="duplicateValues" dxfId="12" priority="14"/>
  </conditionalFormatting>
  <conditionalFormatting sqref="G183:I183">
    <cfRule type="duplicateValues" dxfId="11" priority="13"/>
  </conditionalFormatting>
  <conditionalFormatting sqref="G184:I184">
    <cfRule type="duplicateValues" dxfId="10" priority="12"/>
  </conditionalFormatting>
  <conditionalFormatting sqref="G185:I185">
    <cfRule type="duplicateValues" dxfId="9" priority="11"/>
  </conditionalFormatting>
  <conditionalFormatting sqref="G186:I186">
    <cfRule type="duplicateValues" dxfId="8" priority="10"/>
  </conditionalFormatting>
  <conditionalFormatting sqref="G187:I187">
    <cfRule type="duplicateValues" dxfId="7" priority="9"/>
  </conditionalFormatting>
  <conditionalFormatting sqref="G188:I188">
    <cfRule type="duplicateValues" dxfId="6" priority="8"/>
  </conditionalFormatting>
  <conditionalFormatting sqref="G189:I189">
    <cfRule type="duplicateValues" dxfId="5" priority="7"/>
  </conditionalFormatting>
  <conditionalFormatting sqref="G190:I190">
    <cfRule type="duplicateValues" dxfId="4" priority="6"/>
  </conditionalFormatting>
  <conditionalFormatting sqref="G191:I191">
    <cfRule type="duplicateValues" dxfId="3" priority="5"/>
  </conditionalFormatting>
  <conditionalFormatting sqref="G192:I192">
    <cfRule type="duplicateValues" dxfId="2" priority="4"/>
  </conditionalFormatting>
  <conditionalFormatting sqref="G193:I193">
    <cfRule type="duplicateValues" dxfId="1" priority="3"/>
  </conditionalFormatting>
  <conditionalFormatting sqref="G194:I19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2024-07-23T11:21:59Z</dcterms:modified>
</cp:coreProperties>
</file>