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1790" windowHeight="4260"/>
  </bookViews>
  <sheets>
    <sheet name="ხელშეკრულებები 2017" sheetId="3" r:id="rId1"/>
  </sheets>
  <definedNames>
    <definedName name="_xlnm._FilterDatabase" localSheetId="0" hidden="1">'ხელშეკრულებები 2017'!$3:$3</definedName>
  </definedNames>
  <calcPr calcId="152511"/>
</workbook>
</file>

<file path=xl/calcChain.xml><?xml version="1.0" encoding="utf-8"?>
<calcChain xmlns="http://schemas.openxmlformats.org/spreadsheetml/2006/main">
  <c r="E1183" i="3" l="1"/>
  <c r="E1184" i="3"/>
  <c r="E8" i="3" l="1"/>
  <c r="E18" i="3"/>
  <c r="E105" i="3"/>
  <c r="E10" i="3"/>
  <c r="E11" i="3"/>
  <c r="E12" i="3"/>
  <c r="E14" i="3"/>
  <c r="E20" i="3"/>
  <c r="E19" i="3"/>
  <c r="E22" i="3"/>
  <c r="E13" i="3"/>
  <c r="E366" i="3"/>
  <c r="E686" i="3"/>
  <c r="E733" i="3"/>
  <c r="E958" i="3"/>
  <c r="E973" i="3"/>
  <c r="E164" i="3"/>
  <c r="E9" i="3"/>
  <c r="E143" i="3"/>
  <c r="E247" i="3"/>
  <c r="E16" i="3"/>
  <c r="E146" i="3"/>
  <c r="E260" i="3"/>
  <c r="E145" i="3" l="1"/>
  <c r="E165" i="3"/>
  <c r="E133" i="3"/>
  <c r="E998" i="3"/>
  <c r="E187" i="3" l="1"/>
  <c r="E788" i="3"/>
  <c r="E1054" i="3" l="1"/>
  <c r="E152" i="3"/>
  <c r="E107" i="3"/>
  <c r="E420" i="3"/>
  <c r="E135" i="3"/>
  <c r="E137" i="3"/>
  <c r="E74" i="3"/>
  <c r="E64" i="3"/>
  <c r="E759" i="3" l="1"/>
  <c r="E1135" i="3"/>
  <c r="E441" i="3"/>
  <c r="E45" i="3"/>
  <c r="E81" i="3"/>
  <c r="E91" i="3"/>
  <c r="E108" i="3"/>
  <c r="E417" i="3"/>
  <c r="E584" i="3" l="1"/>
  <c r="E419" i="3"/>
  <c r="E101" i="3"/>
  <c r="E90" i="3"/>
  <c r="E365" i="3"/>
  <c r="E88" i="3"/>
  <c r="E49" i="3"/>
  <c r="E48" i="3"/>
  <c r="E60" i="3"/>
  <c r="E53" i="3"/>
  <c r="E760" i="3"/>
  <c r="E421" i="3"/>
  <c r="E415" i="3"/>
  <c r="E80" i="3"/>
  <c r="E75" i="3"/>
  <c r="E1146" i="3"/>
  <c r="E808" i="3"/>
  <c r="E79" i="3"/>
  <c r="E644" i="3"/>
  <c r="E507" i="3"/>
  <c r="E24" i="3"/>
  <c r="E23" i="3"/>
  <c r="E244" i="3"/>
  <c r="E3" i="3"/>
  <c r="E109" i="3" l="1"/>
  <c r="E87" i="3"/>
  <c r="E85" i="3"/>
  <c r="E100" i="3"/>
  <c r="E172" i="3"/>
  <c r="E4" i="3" l="1"/>
  <c r="E112" i="3"/>
  <c r="E111" i="3"/>
  <c r="E97" i="3"/>
  <c r="E99" i="3"/>
  <c r="E1047" i="3" l="1"/>
  <c r="E58" i="3" l="1"/>
  <c r="E117" i="3"/>
  <c r="E422" i="3"/>
  <c r="E68" i="3"/>
  <c r="E136" i="3"/>
  <c r="E797" i="3"/>
  <c r="E569" i="3" l="1"/>
  <c r="E249" i="3"/>
  <c r="E1067" i="3" l="1"/>
  <c r="E732" i="3"/>
  <c r="E442" i="3"/>
  <c r="E86" i="3"/>
  <c r="E77" i="3"/>
  <c r="E999" i="3"/>
  <c r="E1014" i="3"/>
  <c r="E1078" i="3"/>
  <c r="E987" i="3"/>
  <c r="E1050" i="3" l="1"/>
  <c r="E110" i="3"/>
  <c r="E358" i="3" l="1"/>
  <c r="E76" i="3"/>
  <c r="E51" i="3"/>
  <c r="E443" i="3"/>
  <c r="E61" i="3" l="1"/>
  <c r="E98" i="3"/>
  <c r="E416" i="3"/>
  <c r="E78" i="3"/>
  <c r="E564" i="3"/>
  <c r="E216" i="3"/>
  <c r="E646" i="3"/>
  <c r="E62" i="3"/>
  <c r="E190" i="3"/>
  <c r="E418" i="3"/>
  <c r="E50" i="3" l="1"/>
  <c r="E66" i="3"/>
  <c r="E113" i="3" l="1"/>
  <c r="E92" i="3"/>
  <c r="E106" i="3" l="1"/>
  <c r="E123" i="3"/>
  <c r="E57" i="3"/>
  <c r="E748" i="3"/>
  <c r="E750" i="3" l="1"/>
  <c r="E151" i="3"/>
  <c r="E191" i="3" l="1"/>
  <c r="E972" i="3" l="1"/>
  <c r="E761" i="3" l="1"/>
  <c r="E530" i="3"/>
  <c r="E140" i="3" l="1"/>
  <c r="E89" i="3" l="1"/>
  <c r="E54" i="3" l="1"/>
  <c r="E52" i="3" l="1"/>
  <c r="E83" i="3"/>
  <c r="E129" i="3" l="1"/>
  <c r="E212" i="3"/>
  <c r="E787" i="3"/>
  <c r="E195" i="3"/>
  <c r="E56" i="3"/>
  <c r="E67" i="3"/>
  <c r="E217" i="3"/>
  <c r="E576" i="3" l="1"/>
  <c r="E47" i="3" l="1"/>
  <c r="E360" i="3" l="1"/>
  <c r="E141" i="3"/>
  <c r="E227" i="3" l="1"/>
  <c r="E225" i="3"/>
  <c r="E226" i="3"/>
  <c r="E69" i="3"/>
  <c r="E59" i="3"/>
  <c r="E130" i="3"/>
  <c r="E150" i="3" l="1"/>
  <c r="E205" i="3"/>
  <c r="E586" i="3"/>
  <c r="E82" i="3"/>
  <c r="E357" i="3" l="1"/>
  <c r="E603" i="3"/>
  <c r="E156" i="3" l="1"/>
  <c r="E334" i="3" l="1"/>
  <c r="E454" i="3" l="1"/>
  <c r="E139" i="3" l="1"/>
  <c r="E321" i="3"/>
  <c r="E21" i="3" l="1"/>
  <c r="E25" i="3"/>
  <c r="E46" i="3"/>
  <c r="E220" i="3"/>
  <c r="E155" i="3"/>
  <c r="E293" i="3"/>
  <c r="E63" i="3"/>
  <c r="E153" i="3"/>
  <c r="E318" i="3"/>
  <c r="E55" i="3"/>
  <c r="E6" i="3"/>
  <c r="E5" i="3"/>
  <c r="E228" i="3"/>
  <c r="E158" i="3"/>
  <c r="E196" i="3"/>
  <c r="E84" i="3"/>
  <c r="E37" i="3"/>
  <c r="E93" i="3"/>
  <c r="E65" i="3"/>
</calcChain>
</file>

<file path=xl/comments1.xml><?xml version="1.0" encoding="utf-8"?>
<comments xmlns="http://schemas.openxmlformats.org/spreadsheetml/2006/main">
  <authors>
    <author>Author</author>
  </authors>
  <commentList>
    <comment ref="B55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შეთანხმების ნომერი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2016 წლის ხელშეკრულება</t>
        </r>
      </text>
    </comment>
  </commentList>
</comments>
</file>

<file path=xl/sharedStrings.xml><?xml version="1.0" encoding="utf-8"?>
<sst xmlns="http://schemas.openxmlformats.org/spreadsheetml/2006/main" count="8904" uniqueCount="2824">
  <si>
    <t>შესყიდვის საშუალება</t>
  </si>
  <si>
    <t>შენიშვნა</t>
  </si>
  <si>
    <t>#</t>
  </si>
  <si>
    <t>საქართველოს კანონი სახელმწიფო შესყიდვების შესახებ, მე-10/1 მუხლის მე-3 პუნქტის "ვ" ქვეპუნქტი</t>
  </si>
  <si>
    <t>ქსოვილის ნივთები</t>
  </si>
  <si>
    <t>სასტუმროს მომსახურება</t>
  </si>
  <si>
    <t>სატელეკომუნიკაციო მომსახურებები</t>
  </si>
  <si>
    <r>
      <t>საქართველოს კანონი სახელმწიფო შესყიდვების შესახებ, მე-3 მუხლის 1  პუნქტის "ს</t>
    </r>
    <r>
      <rPr>
        <vertAlign val="superscript"/>
        <sz val="8"/>
        <rFont val="Sylfaen"/>
        <family val="1"/>
        <charset val="204"/>
      </rPr>
      <t>1</t>
    </r>
    <r>
      <rPr>
        <sz val="8"/>
        <rFont val="Sylfaen"/>
        <family val="1"/>
        <charset val="204"/>
      </rPr>
      <t xml:space="preserve">" ქვეპუნქტი </t>
    </r>
  </si>
  <si>
    <t>კ.ტ.</t>
  </si>
  <si>
    <t>გ.ე.ტ.</t>
  </si>
  <si>
    <t xml:space="preserve"> </t>
  </si>
  <si>
    <t>საქართველოს კანონი სახელმწიფო შესყიდვების შესახებ, მე-3 მუხლის 1  პუნქტის "ს1" ქვეპუნქტი</t>
  </si>
  <si>
    <t>ე.ტ.</t>
  </si>
  <si>
    <t xml:space="preserve">საქართველოს კანონი სახელმწიფო შესყიდვების შესახებ, მე-10/1 მუხლის მე-3 პუნქტის "ვ" ქვეპუნქტი </t>
  </si>
  <si>
    <t>ორგანიზაციის დასახელება</t>
  </si>
  <si>
    <t>ხელშეკრულების საგანი</t>
  </si>
  <si>
    <t>ღირებულება</t>
  </si>
  <si>
    <t>შესყიდვის განხორციელების თარიღი</t>
  </si>
  <si>
    <t>CMR</t>
  </si>
  <si>
    <t>გ.შ.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</si>
  <si>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2012 წლის 23 მარტის  #496 განკარგულების საფუძველზე</t>
  </si>
  <si>
    <t>საქართველოს კანონი სახელმწიფო შესყიდვების შესახებ, მე-10/1 მუხლის მე-3 პუნქტის "თ" ქვეპუნქტი</t>
  </si>
  <si>
    <r>
      <t xml:space="preserve">სსიპ საქართველოს ტურიზმის ეროვნული ადმინისტრაცია    </t>
    </r>
    <r>
      <rPr>
        <sz val="8"/>
        <rFont val="Sylfaen"/>
        <family val="1"/>
      </rPr>
      <t xml:space="preserve"> 2017  წელს გაფორმებული სახელმწიფო შესყიდვების ხელშეკრულებათა რეესტრი</t>
    </r>
  </si>
  <si>
    <t>სს "დაზღვევის საერთაშორისო კომპანია ირაო"</t>
  </si>
  <si>
    <t>ადმინისტრაციის ბალანსზე რიცხული ავტომობილების დაზღვევა</t>
  </si>
  <si>
    <t>30.12.2016</t>
  </si>
  <si>
    <t>31.01.2018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</si>
  <si>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2012 წლის 26 სექტემბრის  #1805 განკარგულების საფუძველზე</t>
  </si>
  <si>
    <t>(სახელმწიფო შესყიდვების სააგენტოს თავმჯდომარის 2015 წლის 17 აგვისტოს №13 ბრძანებით დამტკიცებული „გამარტივებული შესყიდვის კრიტერიუმებისა და გამარტივებული შესყიდვის ჩატარების წესის“ მე-3 მუხლის პირველი პუნქტების „ა“ ქვეპუნქტის და სახელმწიფო შესყიდვების სააგენტოს თავმჯდომარის 2016 წლის 7 დეკემბრის №3391 განკარგულების შესაბამისად (SMP160003146))</t>
  </si>
  <si>
    <t xml:space="preserve">საქართველოს კანონი სახელმწიფო შესყიდვების შესახებ, მე-10/1 მუხლის მე-3  პუნქტის "ზ" ქვეპუნქტი </t>
  </si>
  <si>
    <t>დაცვის მომსახურება</t>
  </si>
  <si>
    <t xml:space="preserve"> (სახელმწიფო შესყიდვების სააგენტოს თავმჯდომარის 2015 წლის 17 აგვისტოს №13 ბრძანებით დამტკიცებული „გამარტივებული შესყიდვის კრიტერიუმებისა და გამარტივებული შესყიდვის ჩატარების წესის“ მე-3 მუხლის პირველი პუნქტების „ა“ ქვეპუნქტის და სახელმწიფო შესყიდვების სააგენტოს თავმჯდომარის 2016 წლის 26 დეკემბრის №3795 განკარგულების შესაბამისად (SMP160003570))</t>
  </si>
  <si>
    <t>სს "გლობალ ერთი"</t>
  </si>
  <si>
    <t>ინტერნეტ ტელეფონით მომსახურება</t>
  </si>
  <si>
    <t>შპს "დელტა-ნეტი"</t>
  </si>
  <si>
    <t>ინტერნეტ მომსახურება</t>
  </si>
  <si>
    <t>პროვაიდერული მომსახურებები</t>
  </si>
  <si>
    <t>შპს "ჯეონეთი"</t>
  </si>
  <si>
    <t>საქართველოს შინაგან საქმეთა სამინისტროს სსიპ დაცვის პოლიციის დეპარტამენტი</t>
  </si>
  <si>
    <t>სსიპ საჯარო რეესტრის ეროვნული სააგენტო</t>
  </si>
  <si>
    <t>დეს პროგრამა</t>
  </si>
  <si>
    <t>სსიპ საკანონმდებლო მაცნე</t>
  </si>
  <si>
    <t>ნორმატიული აქტების მომსახურება</t>
  </si>
  <si>
    <t>შპს "შერიფი"</t>
  </si>
  <si>
    <t>ჯიხურის დაცვის მომსახურება</t>
  </si>
  <si>
    <t>შპს "ბრაგვა"</t>
  </si>
  <si>
    <t>დასუფთავების მომსახურება</t>
  </si>
  <si>
    <t>სს "სილქნეტი"</t>
  </si>
  <si>
    <t>საკაბელო ტელევიზიით მომსახურება</t>
  </si>
  <si>
    <t>შპს "საქართველოს ლიფტების კომპანია"</t>
  </si>
  <si>
    <t>ლიფტის ტექნიკური მომსახურება</t>
  </si>
  <si>
    <t>შპს "ტავ ურბან საქართველო"</t>
  </si>
  <si>
    <t>ავტოსადგომების მომსახურება</t>
  </si>
  <si>
    <t>სსიპ სახელისუფლებო სპეციალური კავშირგაბმულობის სააგენტო"</t>
  </si>
  <si>
    <t>სპეცკავშირების მომსახურების შესყიდვა</t>
  </si>
  <si>
    <t>შპს "რომპეტროლ საქართველო"</t>
  </si>
  <si>
    <t>საწვავი - დიზელი</t>
  </si>
  <si>
    <t>03.01.2017</t>
  </si>
  <si>
    <t>საწვავი - პრემიუმი</t>
  </si>
  <si>
    <t>ბაკურიანში დაცვის მომსახურება</t>
  </si>
  <si>
    <t>03.06.2017</t>
  </si>
  <si>
    <t>CMR170001308</t>
  </si>
  <si>
    <t>CMR170001489</t>
  </si>
  <si>
    <t>CMR170001937</t>
  </si>
  <si>
    <t>CMR170002184</t>
  </si>
  <si>
    <t>CMR170002269</t>
  </si>
  <si>
    <t>CMR170002628</t>
  </si>
  <si>
    <t>CMR170002637</t>
  </si>
  <si>
    <t>CMR170002670</t>
  </si>
  <si>
    <t>CMR170002675</t>
  </si>
  <si>
    <t>CMR170002697</t>
  </si>
  <si>
    <t>CMR170002707</t>
  </si>
  <si>
    <t>CMR170002713</t>
  </si>
  <si>
    <t>CMR170002741</t>
  </si>
  <si>
    <t>CMR170003441</t>
  </si>
  <si>
    <t>CMR170003443</t>
  </si>
  <si>
    <t>CMR170002584</t>
  </si>
  <si>
    <t>CMR170003890</t>
  </si>
  <si>
    <t>შპს "წინანდალი"</t>
  </si>
  <si>
    <t>მუზეუმის მომსახურება</t>
  </si>
  <si>
    <t>10.01.2017</t>
  </si>
  <si>
    <t>31.12.2017</t>
  </si>
  <si>
    <t>ფ.პ. ალექსანდრე მუჯირი</t>
  </si>
  <si>
    <t>გიდის მომსახურება</t>
  </si>
  <si>
    <t>შპს "აჭარა+"</t>
  </si>
  <si>
    <t>სასტუმრო მომსახურება</t>
  </si>
  <si>
    <t>შპს "აკა გრუპი 2"</t>
  </si>
  <si>
    <t>ტრანსპორტით მომსახურება</t>
  </si>
  <si>
    <t>შპს "გამბრიელი"</t>
  </si>
  <si>
    <t>სარესტორნო მომსახურება</t>
  </si>
  <si>
    <t>შპს "გუდაური სქი რესორტ"</t>
  </si>
  <si>
    <t>შპს "კ &amp; მ რესტორნები K &amp; M Restaurants"</t>
  </si>
  <si>
    <t>სს "სასტუმროებისა და რესტორნების მენეჯმენტ ჯგუფი - ემ/გრუპ"</t>
  </si>
  <si>
    <t>შპს "პარკ ჰოტელი"</t>
  </si>
  <si>
    <t>შპს "ალბატროს +"</t>
  </si>
  <si>
    <t>შპს "ქართული რესტორანი"</t>
  </si>
  <si>
    <t>შპს "მეღვინეობა ხარება"</t>
  </si>
  <si>
    <t>ფ.პ. რობერტ დილანიანი</t>
  </si>
  <si>
    <t>კვების მიწოდება</t>
  </si>
  <si>
    <t>12.01.2017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</si>
  <si>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11 იანვრის  #8 განკარგულების საფუძველზე (SMP170000039)</t>
  </si>
  <si>
    <t>სარეკლამო კამპანია</t>
  </si>
  <si>
    <t>კულტურული ღონისძიების ორგანიზება</t>
  </si>
  <si>
    <t>შპს "ავიაქსელი"</t>
  </si>
  <si>
    <t>საჰაერო მომსახურება</t>
  </si>
  <si>
    <t>შპს "Windforce Georgia"</t>
  </si>
  <si>
    <t>ვიდეო რგოლის გადაღება</t>
  </si>
  <si>
    <t>შპს "ჩიზ ქორნერი"</t>
  </si>
  <si>
    <t>ყველის შესყიდვა</t>
  </si>
  <si>
    <t>13.01.2017</t>
  </si>
  <si>
    <t>შპს "სამების ლავრის მგალობელთა გუნდი"</t>
  </si>
  <si>
    <t>სსიპ - საქართველოს კულტურული მემკვიდრეობის დაცვის ეროცნული სააგენტო</t>
  </si>
  <si>
    <t>შპს "ტყუპების ძველი მარანი"</t>
  </si>
  <si>
    <t>სსიპ "საქართველოს ეროვნული მუზეუმი"</t>
  </si>
  <si>
    <t>სსიპ დაცული ტერიტორიების სააგენტო</t>
  </si>
  <si>
    <t>ააიპ "ახალციხის ციხე"</t>
  </si>
  <si>
    <t>სსიპ "ი.ბ. სტალინის სახელმწიფო მუზეუმი"</t>
  </si>
  <si>
    <t>სსიპ "დადიანების სასახლეთა ისტორიულ-არქიტექტურული მუზეუმი"</t>
  </si>
  <si>
    <t>ააიპ "ბათუმის ბოტანიკური სახლი"</t>
  </si>
  <si>
    <t>შპს "მეგრულ-ლაზური"</t>
  </si>
  <si>
    <t>შპს "სასადილო +"</t>
  </si>
  <si>
    <t>შპს "41 გრადუსი"</t>
  </si>
  <si>
    <t>შპს "ლოპოტა ტურ სერვისი"</t>
  </si>
  <si>
    <t>შპს "აზარფეშა"</t>
  </si>
  <si>
    <t>შპს "საერთაშორისო კორპორაცია აი სი არ"</t>
  </si>
  <si>
    <t>შპს "კახური ტრადიციული მეღვინეობა"</t>
  </si>
  <si>
    <t>შპს "Acciones de publicidad y montajes azierta, S.L."</t>
  </si>
  <si>
    <t>სტენდის მშენებლობა ესპანეთის გამოფენაზე</t>
  </si>
  <si>
    <t>შპს "ბარაქა 1994"</t>
  </si>
  <si>
    <t>შპს "საგა ფუდი"</t>
  </si>
  <si>
    <t>შპს "შავი ლომი"</t>
  </si>
  <si>
    <t>16.01.2017</t>
  </si>
  <si>
    <t>ფ.პ. "ქეთევან ახობაძე"</t>
  </si>
  <si>
    <t>შპს "სითი ლოფტი"</t>
  </si>
  <si>
    <t>შპს "ხოხბის ცრელმების რესტორანი"</t>
  </si>
  <si>
    <t>სს "საქართველოს სასტუმროები და სპა"</t>
  </si>
  <si>
    <t>შპს "კულინარიუმი"</t>
  </si>
  <si>
    <t>CMR170009826</t>
  </si>
  <si>
    <t>CMR170010463</t>
  </si>
  <si>
    <t>CMR170010643</t>
  </si>
  <si>
    <t>CMR170010692</t>
  </si>
  <si>
    <t>CMR170010333</t>
  </si>
  <si>
    <t>CMR170009173</t>
  </si>
  <si>
    <t>CMR170011234</t>
  </si>
  <si>
    <t>შპს "ბაქარი"</t>
  </si>
  <si>
    <t>სს "შატო მუხრანი"</t>
  </si>
  <si>
    <t>შპს "დიარონი"</t>
  </si>
  <si>
    <t>შპს "Georgian Food Company"</t>
  </si>
  <si>
    <t>შპს "ვალოდიას კოტეჯი"</t>
  </si>
  <si>
    <t>CMR170012694</t>
  </si>
  <si>
    <t>CMR170010827</t>
  </si>
  <si>
    <t>CMR170011020</t>
  </si>
  <si>
    <t>CMR170011086</t>
  </si>
  <si>
    <t>CMR170011101</t>
  </si>
  <si>
    <t>CMR170011191</t>
  </si>
  <si>
    <t>CMR170012047</t>
  </si>
  <si>
    <t>CMR170012081</t>
  </si>
  <si>
    <t>CMR170012108</t>
  </si>
  <si>
    <t>CMR170011211</t>
  </si>
  <si>
    <t>CMR170012846</t>
  </si>
  <si>
    <t>შპს "სამოსელი პირველი"</t>
  </si>
  <si>
    <t>17.01.2017</t>
  </si>
  <si>
    <t>CMR170013113</t>
  </si>
  <si>
    <t>ტანსაცმლის შესყიდვა</t>
  </si>
  <si>
    <t>შპს "ევროკომ ინვესტმენტ ჯორჯია"</t>
  </si>
  <si>
    <t>18.01.2017</t>
  </si>
  <si>
    <t>სს 'საქართველოს სასტუმროები და სპა"</t>
  </si>
  <si>
    <t>შპს "ნიუ თეთნულდი"</t>
  </si>
  <si>
    <t>შპს "ჩვენი ეზო"</t>
  </si>
  <si>
    <t>ი.მ. ირაკლი ჩაფიჩაძე</t>
  </si>
  <si>
    <t>ფ.პ. მარიკა ბოგვერაძე</t>
  </si>
  <si>
    <t>შპს "ოტო მოტორსი"</t>
  </si>
  <si>
    <t>ზეთის ფილტრები</t>
  </si>
  <si>
    <t>ჰაერის ფილტრები</t>
  </si>
  <si>
    <t>ზეთების შესყიდვა</t>
  </si>
  <si>
    <t>შპს"სასტუმრო ყაზბეგი"</t>
  </si>
  <si>
    <t>CMR170015272</t>
  </si>
  <si>
    <t>CMR170015362</t>
  </si>
  <si>
    <t>CMR170015479</t>
  </si>
  <si>
    <t>CMR170015485</t>
  </si>
  <si>
    <t>CMR170015492</t>
  </si>
  <si>
    <t>CMR170015497</t>
  </si>
  <si>
    <t>CMR170015391</t>
  </si>
  <si>
    <t>CMR170015417</t>
  </si>
  <si>
    <t>CMR170015443</t>
  </si>
  <si>
    <t>CMR170015476</t>
  </si>
  <si>
    <t>CMR170015482</t>
  </si>
  <si>
    <t>CMR170015487</t>
  </si>
  <si>
    <t>CMR170015491</t>
  </si>
  <si>
    <t>CMR170016528</t>
  </si>
  <si>
    <t>CMR170016558</t>
  </si>
  <si>
    <t>CMR170016578</t>
  </si>
  <si>
    <t>შპს "ბადაგი"</t>
  </si>
  <si>
    <t>ჩირის შესყიდვა</t>
  </si>
  <si>
    <t>CMR170009011</t>
  </si>
  <si>
    <t>CMR170009036</t>
  </si>
  <si>
    <t>CMR170017151</t>
  </si>
  <si>
    <t>CMR170017317</t>
  </si>
  <si>
    <t>CMR170017379</t>
  </si>
  <si>
    <t>CMR170017669</t>
  </si>
  <si>
    <t>CMR170017699</t>
  </si>
  <si>
    <t>CMR170017807</t>
  </si>
  <si>
    <t>CMR170013146</t>
  </si>
  <si>
    <t>CMR170017524</t>
  </si>
  <si>
    <t>CMR170017534</t>
  </si>
  <si>
    <t>CMR170017543</t>
  </si>
  <si>
    <t>CMR170017556</t>
  </si>
  <si>
    <t>CMR170017564</t>
  </si>
  <si>
    <t>CMR170017572</t>
  </si>
  <si>
    <t>CMR170017625</t>
  </si>
  <si>
    <t>CMR170017647</t>
  </si>
  <si>
    <t>CMR170017673</t>
  </si>
  <si>
    <t>CMR170017704</t>
  </si>
  <si>
    <t>CMR170017719</t>
  </si>
  <si>
    <t>CMR170017731</t>
  </si>
  <si>
    <t>CMR170017748</t>
  </si>
  <si>
    <t>CMR170020646</t>
  </si>
  <si>
    <t>CMR170018157</t>
  </si>
  <si>
    <t>სს "ნუროლ ინშაათ ვე თიჯარეთის წარმომადგენლობა საქართველოში"</t>
  </si>
  <si>
    <t>23.01.2017</t>
  </si>
  <si>
    <t>შპს "აჭარა +"</t>
  </si>
  <si>
    <t>CMR170021256</t>
  </si>
  <si>
    <t>ფაქტიურად გადახდილი თანხა</t>
  </si>
  <si>
    <t>CMR170023211</t>
  </si>
  <si>
    <t>141.80 </t>
  </si>
  <si>
    <t>132.66 </t>
  </si>
  <si>
    <t>142.34 </t>
  </si>
  <si>
    <t>129.03 </t>
  </si>
  <si>
    <t>70.00 </t>
  </si>
  <si>
    <t>CMR170025729</t>
  </si>
  <si>
    <t>CMR170027840</t>
  </si>
  <si>
    <t>CMR170029219</t>
  </si>
  <si>
    <t>CMR170029230</t>
  </si>
  <si>
    <t>CMR170017817</t>
  </si>
  <si>
    <t>CMR170027904</t>
  </si>
  <si>
    <t>CMR170027923</t>
  </si>
  <si>
    <t>CMR170027843</t>
  </si>
  <si>
    <t>CMR170027869</t>
  </si>
  <si>
    <t>CMR170023545</t>
  </si>
  <si>
    <t>CMR170023566</t>
  </si>
  <si>
    <t>CMR170023591</t>
  </si>
  <si>
    <t>CMR170027968</t>
  </si>
  <si>
    <t>CMR170027945</t>
  </si>
  <si>
    <t>CMR170032443</t>
  </si>
  <si>
    <t>CMR170023327</t>
  </si>
  <si>
    <t>CMR170033502</t>
  </si>
  <si>
    <t>CMR170024098</t>
  </si>
  <si>
    <t>CMR170027983</t>
  </si>
  <si>
    <t>CMR170028001</t>
  </si>
  <si>
    <t>CMR170027890</t>
  </si>
  <si>
    <t>CMR170038543</t>
  </si>
  <si>
    <t>CMR170029821</t>
  </si>
  <si>
    <t>CMR170031132</t>
  </si>
  <si>
    <t>სს "ფრანს ავტო"</t>
  </si>
  <si>
    <t>მე-3 კლასის მაღალი გამავლობის მსუბუქი ავტომობილის (რენო დასტერი) მოწყობილობების შეკეთება, ტექნიკური მომსახურება და მასთან დაკავშირებული მომსახურების შესყიდვა</t>
  </si>
  <si>
    <t>შპს "იბერია ავტო ლენდი"</t>
  </si>
  <si>
    <t>სპეციალიზირებული კლასის ავტომობილის (პიკაპი) მოწყობილობების შეკეთება, ტექნიკური მომსახურება და მასთან დაკავშირებული მომსახურების შესყიდვა</t>
  </si>
  <si>
    <t>სსიპ საერთაშორისო ხელშეკრულებების თარგმნის ბიურო</t>
  </si>
  <si>
    <t>თარგმნის მომსახურება და აუთენტურობის დამოწმება</t>
  </si>
  <si>
    <t>Arkon tasarum organizasyon ins. San. Ve Dis Tic ltd. Sti</t>
  </si>
  <si>
    <t>სტენდის მშენებლობა თურქეთის გამოფენაზე</t>
  </si>
  <si>
    <t>შპს 'ჯი-ემ-თი სასტუმროები"</t>
  </si>
  <si>
    <t>ფ.პ. ელენე რაქვიაშვილი</t>
  </si>
  <si>
    <t>შპს "კარგო ლოჯისთიქს გრუპ ჯორჯია"</t>
  </si>
  <si>
    <t>ტვირთის გადაზიდვა</t>
  </si>
  <si>
    <t>შპს "ფავორიტი სტილი"</t>
  </si>
  <si>
    <t>სახელმძღვანელოების ბეჭდვა</t>
  </si>
  <si>
    <t>UAB "ekspogama"</t>
  </si>
  <si>
    <t>სტენდის მშენებლობა ბელგიის გამოფენაზე</t>
  </si>
  <si>
    <t>შპს "Euro expo baltic OU"</t>
  </si>
  <si>
    <t>სტენდის მშენებლობა ლატვიის გამოფენაზე</t>
  </si>
  <si>
    <t>შპს "სტუდია მეტრო"</t>
  </si>
  <si>
    <t>ზამთრის ვიდეო რგოლის გადაღება</t>
  </si>
  <si>
    <t>ი.მ. ცისმარი ჩეკურაშვილი</t>
  </si>
  <si>
    <t>შპს "შატო მერე"</t>
  </si>
  <si>
    <t>შპს "ტრაფიკ თრეველი"</t>
  </si>
  <si>
    <t>შპს "თითიჯი ჯორჯია"</t>
  </si>
  <si>
    <t>რეკლამის განთავსება ჟურნალში - The georgian</t>
  </si>
  <si>
    <t>შპს "აიაქს-პრესი"</t>
  </si>
  <si>
    <t>რეკლამის განთავსება ჟურნალში - პოლიგლოტი</t>
  </si>
  <si>
    <t>შპს 'ბადაგი"</t>
  </si>
  <si>
    <t>24.01.2017</t>
  </si>
  <si>
    <t>SPA160030510</t>
  </si>
  <si>
    <t>25.01.2017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</si>
  <si>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24 იანვრის  #73 განკარგულების საფუძველზე (SMP1700000182)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</si>
  <si>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24 იანვრის  #74 განკარგულების საფუძველზე (SMP170000214)</t>
  </si>
  <si>
    <t>27.01.2017</t>
  </si>
  <si>
    <t>30.01.2017</t>
  </si>
  <si>
    <t>CMR170027826</t>
  </si>
  <si>
    <t>CMR170040088</t>
  </si>
  <si>
    <t>CMR170040129</t>
  </si>
  <si>
    <t>705.00 </t>
  </si>
  <si>
    <t>284.38 </t>
  </si>
  <si>
    <t>602.58 </t>
  </si>
  <si>
    <t>შპს "თავისუფალი გაზეთი +"</t>
  </si>
  <si>
    <t>საინფორმაციო სააგენტოების მომსახურება</t>
  </si>
  <si>
    <t>შპს 'ჯორჯიან ჰოტელ მენეჯმენტი"</t>
  </si>
  <si>
    <t>კვების მიწოდების მომსახურება</t>
  </si>
  <si>
    <t>შპს "ქართული ოჯახი"</t>
  </si>
  <si>
    <t>შპს "წისქვილი ჯგუფი"</t>
  </si>
  <si>
    <t>შპს "ლეილა"</t>
  </si>
  <si>
    <t>შპს "ია+ჯგუფი"</t>
  </si>
  <si>
    <t>შპს "აჭარული ღვინის სახლი"</t>
  </si>
  <si>
    <t>შპს "რესტორანი ძველი მეტეხი"</t>
  </si>
  <si>
    <t>ი.მ. ალბერტ გუდაძე</t>
  </si>
  <si>
    <t>შპს "CORDOVA"</t>
  </si>
  <si>
    <t>სტენდის მშენებლობა ისარელის გამოფენაზე</t>
  </si>
  <si>
    <t>შპს "პირველი"</t>
  </si>
  <si>
    <t>შპს 'კულინარტი"</t>
  </si>
  <si>
    <t>შპს "ახალი ამბები"</t>
  </si>
  <si>
    <t>ვებ გვერდზე ინფორმაციის გავრცელება</t>
  </si>
  <si>
    <t>შპს "ჯეოჰოტნიუსი"</t>
  </si>
  <si>
    <t>49-1</t>
  </si>
  <si>
    <t>შპს "მაგთიკომი"</t>
  </si>
  <si>
    <t>შეთანხმება ფიჭური კავშირგაბმულობის მომსახურების ვადის გაგრძელებაზე</t>
  </si>
  <si>
    <t>ი.მ. ქართველა ჭაბაშვილი</t>
  </si>
  <si>
    <t>სს "საქართველოს ბანკი"</t>
  </si>
  <si>
    <t>საბანკო მომსახურება</t>
  </si>
  <si>
    <t>შპს "Marina coliseum"</t>
  </si>
  <si>
    <t>შპს "ჯითიერ"</t>
  </si>
  <si>
    <t>შპს "Invest Consult SKTS Oy"</t>
  </si>
  <si>
    <t>ფ.პ. ელისო ელისაშვილი</t>
  </si>
  <si>
    <t>ჩინურენოვანი ტექსტის დამუშავება</t>
  </si>
  <si>
    <t>შპს "ედვაიზორ მედია"</t>
  </si>
  <si>
    <t>პროექტი "სილამაზის საელჩო"</t>
  </si>
  <si>
    <t>პროექტი "Bachelor"</t>
  </si>
  <si>
    <t>31.01.2017</t>
  </si>
  <si>
    <t>CMR170045629</t>
  </si>
  <si>
    <t>CMR170045636</t>
  </si>
  <si>
    <t>CMR170044553</t>
  </si>
  <si>
    <t>CMR170044556</t>
  </si>
  <si>
    <t>CMR170045749</t>
  </si>
  <si>
    <t>CMR170044612</t>
  </si>
  <si>
    <t>CMR170044621</t>
  </si>
  <si>
    <t>01.02.2017</t>
  </si>
  <si>
    <t>CMR170045213</t>
  </si>
  <si>
    <t>01.04.2017</t>
  </si>
  <si>
    <t>CON150000078</t>
  </si>
  <si>
    <t>02.02.2017</t>
  </si>
  <si>
    <t>31.03.2018</t>
  </si>
  <si>
    <t>03.02.2017</t>
  </si>
  <si>
    <t>CMR170046657</t>
  </si>
  <si>
    <t>CMR170046769</t>
  </si>
  <si>
    <t>CMR170044168</t>
  </si>
  <si>
    <t>CMR170045202</t>
  </si>
  <si>
    <t>CMR170042745</t>
  </si>
  <si>
    <t>CMR170043360</t>
  </si>
  <si>
    <t>CMR170045294</t>
  </si>
  <si>
    <t>CMR170047040</t>
  </si>
  <si>
    <t>CMR170046208</t>
  </si>
  <si>
    <t>CMR170046996</t>
  </si>
  <si>
    <t>CMR170046193</t>
  </si>
  <si>
    <t>CMR170044610</t>
  </si>
  <si>
    <t>CMR170042189</t>
  </si>
  <si>
    <t>CMR170044903</t>
  </si>
  <si>
    <t>CMR170043199</t>
  </si>
  <si>
    <t>CMR170041970</t>
  </si>
  <si>
    <t>162.50 </t>
  </si>
  <si>
    <t>შპს "სუფთა წყალი"</t>
  </si>
  <si>
    <t>სასმელი წყლის შესყიდვა</t>
  </si>
  <si>
    <t>950.00 </t>
  </si>
  <si>
    <t>CMR170047296</t>
  </si>
  <si>
    <t>CMR170047290</t>
  </si>
  <si>
    <t>15.00 </t>
  </si>
  <si>
    <t>CMR170047808</t>
  </si>
  <si>
    <t>CMR170047525</t>
  </si>
  <si>
    <t>CMR170047514</t>
  </si>
  <si>
    <t>CMR170047538</t>
  </si>
  <si>
    <t>CMR170049609</t>
  </si>
  <si>
    <t>CMR170050584</t>
  </si>
  <si>
    <t>CMR170050564</t>
  </si>
  <si>
    <t>CMR170050510</t>
  </si>
  <si>
    <t xml:space="preserve"> CMR170049624</t>
  </si>
  <si>
    <t>CMR170047325</t>
  </si>
  <si>
    <t>CMR170050207</t>
  </si>
  <si>
    <t>CMR170047121</t>
  </si>
  <si>
    <t>CMR170047125</t>
  </si>
  <si>
    <t>CMR170047433</t>
  </si>
  <si>
    <t>07.02.2017</t>
  </si>
  <si>
    <t>CMR170002596</t>
  </si>
  <si>
    <t>2769.39 </t>
  </si>
  <si>
    <t>2300.00 </t>
  </si>
  <si>
    <t>1142.73 </t>
  </si>
  <si>
    <t>26068.20 </t>
  </si>
  <si>
    <t>2695.44 </t>
  </si>
  <si>
    <t>2140.86 </t>
  </si>
  <si>
    <t>54942.30 </t>
  </si>
  <si>
    <t>2572.30 </t>
  </si>
  <si>
    <t>შპს "თაშრე"</t>
  </si>
  <si>
    <t>ბეჭდვასთან დაკავშირებული მომსახურებები</t>
  </si>
  <si>
    <t>შპს "ბ ენდ ვ გალერი B &amp; W Gallery"</t>
  </si>
  <si>
    <t>ფოტოების შესყიდვა</t>
  </si>
  <si>
    <t>შპს "ნივადა გრუპი"</t>
  </si>
  <si>
    <t>ფ.პ. დავით ნოზაძე</t>
  </si>
  <si>
    <t>შპს "გლორია LLC GLORIA"</t>
  </si>
  <si>
    <t>შპს "allmarket.ge"</t>
  </si>
  <si>
    <t>ტელეფონის აპარატები</t>
  </si>
  <si>
    <t>შპს "პრინტარეა"</t>
  </si>
  <si>
    <t>სავიზიტო ბარათების შესყიდვა</t>
  </si>
  <si>
    <t>შიდა გადაზიდვა</t>
  </si>
  <si>
    <t>შპს "ჰოტელს მენეჯმენტ გრუპ - HMG"</t>
  </si>
  <si>
    <t>ლიფტის შეკეთება</t>
  </si>
  <si>
    <t>შპს "ყვარლის ედემი"</t>
  </si>
  <si>
    <t>შპს "ძველი სიღნაღი"</t>
  </si>
  <si>
    <t>ი.მ. ინგა ლაშხი</t>
  </si>
  <si>
    <t>შპს "სვანეთის სასტუმროები"</t>
  </si>
  <si>
    <t>შპს "გუდაური 2010"</t>
  </si>
  <si>
    <t>09.02.2017</t>
  </si>
  <si>
    <t>CMR170051681</t>
  </si>
  <si>
    <t>10.02.2017</t>
  </si>
  <si>
    <t>CMR170054958</t>
  </si>
  <si>
    <t>CMR170054971</t>
  </si>
  <si>
    <t>13.02.2017</t>
  </si>
  <si>
    <t>CMR170052181</t>
  </si>
  <si>
    <t>14.02.2017</t>
  </si>
  <si>
    <t>CMR170053500</t>
  </si>
  <si>
    <t>SPA170001153</t>
  </si>
  <si>
    <t>SPA170001178</t>
  </si>
  <si>
    <t>15.02.2017</t>
  </si>
  <si>
    <t>CMR170054683</t>
  </si>
  <si>
    <t>16.02.2017</t>
  </si>
  <si>
    <t>17.02.2017</t>
  </si>
  <si>
    <t>CMR170050219</t>
  </si>
  <si>
    <t>CMR170055643</t>
  </si>
  <si>
    <t>CMR170055625</t>
  </si>
  <si>
    <t>181`675.60</t>
  </si>
  <si>
    <t>CMR170055663</t>
  </si>
  <si>
    <t>CMR170055996</t>
  </si>
  <si>
    <t>1`500.00</t>
  </si>
  <si>
    <t>450.00 </t>
  </si>
  <si>
    <t>108.00 </t>
  </si>
  <si>
    <t>CMR170050204</t>
  </si>
  <si>
    <t>CMR170055657</t>
  </si>
  <si>
    <t>CMR170056818</t>
  </si>
  <si>
    <t>CMR170056006</t>
  </si>
  <si>
    <t>CMR170055620</t>
  </si>
  <si>
    <t>CMR170059499</t>
  </si>
  <si>
    <t>CMR170059930</t>
  </si>
  <si>
    <t>CMR170059933</t>
  </si>
  <si>
    <t>CMR170059925</t>
  </si>
  <si>
    <t>CMR170059924</t>
  </si>
  <si>
    <t>შპს "ეიდიესეს პრინტი"</t>
  </si>
  <si>
    <t>შპს "ჯორჯია თუდეი ჯგუფი"</t>
  </si>
  <si>
    <t>შპს "იბერინფო"</t>
  </si>
  <si>
    <t>შპს "ინტერჯორჯია"</t>
  </si>
  <si>
    <t>შპს "QartValley Georgian Products OHG"</t>
  </si>
  <si>
    <t>შპს "ფავორიტი ედვერთისმენთ"</t>
  </si>
  <si>
    <t>შპს 'სეზანი"</t>
  </si>
  <si>
    <t>ი.მ. თამაზი სულხანიშვილი</t>
  </si>
  <si>
    <t>შპს "სიღნაღი ჰოტელ"</t>
  </si>
  <si>
    <t>შპს "ჯობს.გე"</t>
  </si>
  <si>
    <t>შპს "Arabesque exhibition supply trading"</t>
  </si>
  <si>
    <t>ფ.პ. თინათინ იდიძე</t>
  </si>
  <si>
    <t>შპს "სითი ფლანერი"</t>
  </si>
  <si>
    <t>შპს "Diplomatisches Magazin Verlagsgesellschaft mbH"</t>
  </si>
  <si>
    <t>შპს "სტატიო"</t>
  </si>
  <si>
    <t>ბანერის ბეჭდვა</t>
  </si>
  <si>
    <t>სარეკლამო კამპანია  ჟურნალში The Economist</t>
  </si>
  <si>
    <t>ინფობუღალტერიის პროგრამა</t>
  </si>
  <si>
    <t>ქართული ღვინის შესყიდვა და ადგილზე მიწოდება</t>
  </si>
  <si>
    <t>სარეკლამო მასალის შესყიდვა</t>
  </si>
  <si>
    <t>საქმიანი ტურიზმის ბროშურის ბეჭდვის მომსახურება</t>
  </si>
  <si>
    <t>განცხადების გამოქვეყნება</t>
  </si>
  <si>
    <t>სტენდის მშენებლობა გერმანიის გამოფენაზე</t>
  </si>
  <si>
    <t>წყალტუბოს ბალნეოლოგიური კურორტის შშმპ ადაპტირებული ინფრასტრუქტურის სამუშაოების შესყიდვა</t>
  </si>
  <si>
    <t>სარეკლამო კამპანია გერმანულენოვან დიპლომატიურ ჟურნალში</t>
  </si>
  <si>
    <t>პირადი ჰიგიენის საშუალებების შესყიდვა</t>
  </si>
  <si>
    <t>20.02.2017</t>
  </si>
  <si>
    <t>21.02.2017</t>
  </si>
  <si>
    <t>CMR170056891</t>
  </si>
  <si>
    <t>22.02.2017</t>
  </si>
  <si>
    <t>CMR170059325</t>
  </si>
  <si>
    <t>CMR170059320</t>
  </si>
  <si>
    <t>CMR170057376</t>
  </si>
  <si>
    <t>23.02.2017</t>
  </si>
  <si>
    <t>24.02.2017</t>
  </si>
  <si>
    <t>SPA170002145</t>
  </si>
  <si>
    <t>CMR170059313</t>
  </si>
  <si>
    <t>CMR170059469</t>
  </si>
  <si>
    <t>CMR170061237</t>
  </si>
  <si>
    <t>CMR170059749</t>
  </si>
  <si>
    <t>28.02.2017</t>
  </si>
  <si>
    <t>SPA170000511</t>
  </si>
  <si>
    <t>31.12.2017.</t>
  </si>
  <si>
    <t>01.03.2017</t>
  </si>
  <si>
    <t>02.03.2017</t>
  </si>
  <si>
    <t xml:space="preserve"> CMR170056929</t>
  </si>
  <si>
    <t>2`000.00</t>
  </si>
  <si>
    <t>2`250.00</t>
  </si>
  <si>
    <t>შპს "ჯორჯია თუდეი"</t>
  </si>
  <si>
    <t>Kaus media services</t>
  </si>
  <si>
    <t>ღონისძიების ორგანიზება ბერლინის გამოფენაზე</t>
  </si>
  <si>
    <t>ააიპ ტრენინგების საერთაშორისო ცენტრი</t>
  </si>
  <si>
    <t>გიდის უნარ-ჩვევების შემსწავლელი ტრენინგი</t>
  </si>
  <si>
    <t>შპს "თეგეტა მოტორსი"</t>
  </si>
  <si>
    <t>ავტომობილების შეკეთება</t>
  </si>
  <si>
    <t>შპს ჯი-ემ-თი მთაწმინდა</t>
  </si>
  <si>
    <t>ი.მ. რობიზონ ქავთარაძე</t>
  </si>
  <si>
    <t>შპს "სასტუმრო გუდაური ინნ"</t>
  </si>
  <si>
    <t>CMR170064039</t>
  </si>
  <si>
    <t>06.03.2017</t>
  </si>
  <si>
    <t>07.03.2017</t>
  </si>
  <si>
    <t>SPA170000515</t>
  </si>
  <si>
    <t>SPA170002579</t>
  </si>
  <si>
    <t>10.03.2017</t>
  </si>
  <si>
    <t xml:space="preserve">
შპს მაგთიკომი </t>
  </si>
  <si>
    <t>3`168.00 </t>
  </si>
  <si>
    <t>50.00 </t>
  </si>
  <si>
    <t>2`050.00 </t>
  </si>
  <si>
    <t>CMR170060850</t>
  </si>
  <si>
    <t>130.00 </t>
  </si>
  <si>
    <t>CMR170063883</t>
  </si>
  <si>
    <t>CMR170061224</t>
  </si>
  <si>
    <t>CMR170063468</t>
  </si>
  <si>
    <t>1`500.00 </t>
  </si>
  <si>
    <t>30.00 </t>
  </si>
  <si>
    <t>CMR170062926</t>
  </si>
  <si>
    <t>CMR170064262</t>
  </si>
  <si>
    <t>CMR170062510</t>
  </si>
  <si>
    <t>CMR170062489</t>
  </si>
  <si>
    <t>CMR170065824</t>
  </si>
  <si>
    <t>1`400.00</t>
  </si>
  <si>
    <t>CMR170066754</t>
  </si>
  <si>
    <t>CMR170067408</t>
  </si>
  <si>
    <t>CMR170067411</t>
  </si>
  <si>
    <t>CMR170067414</t>
  </si>
  <si>
    <t>CMR170068293</t>
  </si>
  <si>
    <t>შპს "interexpo LTD"</t>
  </si>
  <si>
    <t>უკრაინის გამოფენაზე სტენდის მშენებლობა</t>
  </si>
  <si>
    <t>შპს "Roomen Exhibits (beijing) Co. Ltd"</t>
  </si>
  <si>
    <t>ჩინეთის გამოფენაზე სტენდის მშენებლობა</t>
  </si>
  <si>
    <t>"eSubstance Ltd T/A ink"</t>
  </si>
  <si>
    <t>სარეკლამო კამპანია - ვიზეარი</t>
  </si>
  <si>
    <t>შპს "გზაჯვარედინი"</t>
  </si>
  <si>
    <t>ღვინის გზის პროექტი მეორე ეტაპი</t>
  </si>
  <si>
    <t>შპს "Comples Pro"</t>
  </si>
  <si>
    <t>პრინტერის შეკეთება</t>
  </si>
  <si>
    <t>სს "საქართველოს რკინიგზა"</t>
  </si>
  <si>
    <t>ბილეთების შესყიდვა</t>
  </si>
  <si>
    <t>შპს "გრიინ ინვესტ"</t>
  </si>
  <si>
    <t>შპს "კოლხური სახლი"</t>
  </si>
  <si>
    <t>შპს "ატმ-ანბანის კოშკის მენეჯმენტი"</t>
  </si>
  <si>
    <t>შპს "სითი აუტო"</t>
  </si>
  <si>
    <t>ტრანსპორტის მომსახურება</t>
  </si>
  <si>
    <t>შპს "ალიანს მედია"</t>
  </si>
  <si>
    <t>სარეკლამო კამპანია - ტელევიზიები</t>
  </si>
  <si>
    <t>სარეკლამო ბანერის დამზადება</t>
  </si>
  <si>
    <t>შპს "ბიმარკ გრუპი"</t>
  </si>
  <si>
    <t>რეკლამა ჟურნალში ინტერიერი</t>
  </si>
  <si>
    <t>შპს "დიჯითალ ედს"</t>
  </si>
  <si>
    <t>ზაფხულის ონლაინ კამპანია</t>
  </si>
  <si>
    <t>შპს "ვებერი"</t>
  </si>
  <si>
    <t>შპს "ტოპ გრუპი"</t>
  </si>
  <si>
    <t>"Mega Vision LLC"</t>
  </si>
  <si>
    <t>სტენდის მშენებლობა ბაქოს გამოფენაზე</t>
  </si>
  <si>
    <t>შპს "დალმა"</t>
  </si>
  <si>
    <t>ბრენდირებული სასაჩუქრე მასალები</t>
  </si>
  <si>
    <t>14.03.2017</t>
  </si>
  <si>
    <t>15.03.2017</t>
  </si>
  <si>
    <t>SPA170001967</t>
  </si>
  <si>
    <t>17.03.2017</t>
  </si>
  <si>
    <t>CMR170069655</t>
  </si>
  <si>
    <t>CMR170070462</t>
  </si>
  <si>
    <t>CMR170070471</t>
  </si>
  <si>
    <t>CMR170070482</t>
  </si>
  <si>
    <t>20.03.2017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</si>
  <si>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14 მარტის  #493 განკარგულების საფუძველზე (SMP1700000619)</t>
  </si>
  <si>
    <t>CMR170071338</t>
  </si>
  <si>
    <t>22.03.2017</t>
  </si>
  <si>
    <t>CMR170072508</t>
  </si>
  <si>
    <t>23.03.2017</t>
  </si>
  <si>
    <t>CMR170072790</t>
  </si>
  <si>
    <t>CMR170072822</t>
  </si>
  <si>
    <t>31.17.2017</t>
  </si>
  <si>
    <t>SPA170002304</t>
  </si>
  <si>
    <t>CMR170070557</t>
  </si>
  <si>
    <t>1`160.00</t>
  </si>
  <si>
    <t>1`600.00</t>
  </si>
  <si>
    <t>1`100.00 </t>
  </si>
  <si>
    <t>2`000.00 </t>
  </si>
  <si>
    <t>150.00 </t>
  </si>
  <si>
    <t>CMR170064670</t>
  </si>
  <si>
    <t>შპს "ორიენტ ლოჯიკი"</t>
  </si>
  <si>
    <t>დიაგნოსტიკური მომსახურება</t>
  </si>
  <si>
    <t>CMR170066039</t>
  </si>
  <si>
    <t>CMR170075099</t>
  </si>
  <si>
    <t>CMR170075885</t>
  </si>
  <si>
    <t>55.00 </t>
  </si>
  <si>
    <t>შპს "როიალ ბატონი"</t>
  </si>
  <si>
    <t>შპს "ვალოდიას დუქანი"</t>
  </si>
  <si>
    <t>ფ.პ. მაია მდივნიშვილი</t>
  </si>
  <si>
    <t>შპს "უნივერსალ ჯგუფი"</t>
  </si>
  <si>
    <t>რეცხვის მომსახურება</t>
  </si>
  <si>
    <t>შპს "ქი მენეჯმენტ სოლუშენს"</t>
  </si>
  <si>
    <t>სატრენინგო მომსახურება - აგრო</t>
  </si>
  <si>
    <t>ი.მ. გიორგი კანდელაკი - ვესტა</t>
  </si>
  <si>
    <t>ქაღალდის შესყიდვა</t>
  </si>
  <si>
    <t>ფ.პ. ანა უთურგაური</t>
  </si>
  <si>
    <t>შპს "გრანდ ჰოტელ უშბა"</t>
  </si>
  <si>
    <t>შპს "კარგო ლოჯისტიკს გრუპ ჯორჯია"</t>
  </si>
  <si>
    <t>ცოცხალი მცენარეების შესყიდვა</t>
  </si>
  <si>
    <t>შპს "ვიზარდ ივენთი"</t>
  </si>
  <si>
    <t>მთის კურორტების კონფერენციის ღონისძიების ორგანიზება</t>
  </si>
  <si>
    <t>შპს "ლოპოტა"</t>
  </si>
  <si>
    <t>ფიჭური კავშირგაბმულობის მომსახურება</t>
  </si>
  <si>
    <t>შპს "TLC Tbilisi language center"</t>
  </si>
  <si>
    <t>ინგლისური ენის ტრენინგი</t>
  </si>
  <si>
    <t>საბურავების შესყიდვა</t>
  </si>
  <si>
    <t>შპს "ალი გრუპ"</t>
  </si>
  <si>
    <t>საინფორმაციო ცენტრის მომსახურება</t>
  </si>
  <si>
    <t>შპს "ქარელის აგრო-ინდუსტრიული კომპანია"</t>
  </si>
  <si>
    <t>გამომშრალი ხილის შესყიდვა</t>
  </si>
  <si>
    <t>შპს "ვარძია"</t>
  </si>
  <si>
    <t>შპს "ვანილა სქაი"</t>
  </si>
  <si>
    <t>შპს "ზურულდი"</t>
  </si>
  <si>
    <t>ააიპ "სპორტული კლუბი MIA FORCE"</t>
  </si>
  <si>
    <t>სარეკლამო კამპანია - ძარიანი ავტომობილების საერთაშორისო სერიების ფარგლებში</t>
  </si>
  <si>
    <t>შპს "რეზონი"</t>
  </si>
  <si>
    <t>საპრომოციო მასალის ბეჭდვის მომსახურება</t>
  </si>
  <si>
    <t>შპს "მოდერნ გრაფიკი"</t>
  </si>
  <si>
    <t>ნაბეჭდი მასალის სარეკლამო სივრცეზე განთავსება</t>
  </si>
  <si>
    <t>შპს "Trip advisor"</t>
  </si>
  <si>
    <t>შპს "დაბი გრუპ ჯორჯია"</t>
  </si>
  <si>
    <t>შპს "ესთიაი ჯორჯია"</t>
  </si>
  <si>
    <t>შპს "ბითიელი"</t>
  </si>
  <si>
    <t>შპს "თეთრი ხიდი"</t>
  </si>
  <si>
    <t>ი.მ. სიმონ რუაძე</t>
  </si>
  <si>
    <t>ი.მ. ნინო კვერნაძე</t>
  </si>
  <si>
    <t>ფ.პ. ზვიად ბეჭვაია</t>
  </si>
  <si>
    <t>შპს "ჯობს.ჯი"</t>
  </si>
  <si>
    <t>განცხადების განთავსება</t>
  </si>
  <si>
    <t>შპს "ლეპტოპ ცენტრი"</t>
  </si>
  <si>
    <t>კომპიუტერის შეკეთება</t>
  </si>
  <si>
    <t>შპს "ობჯექთს"</t>
  </si>
  <si>
    <t>სტენდის შესყიდვა და აგების მომსახურება</t>
  </si>
  <si>
    <t>შპს "სერვის ექსპრეს+"</t>
  </si>
  <si>
    <t>მონიტორის შეკეთება</t>
  </si>
  <si>
    <t>შპს "მეტრო სტუდიო"</t>
  </si>
  <si>
    <t>დამატებითი კადრების გადაღება ზამთრის ვიდეო რგოლზე</t>
  </si>
  <si>
    <t>შპს "ბეთერ ფლაი"</t>
  </si>
  <si>
    <t>სატელემაუწყებლო მომსახურება</t>
  </si>
  <si>
    <t>ფ.პ. ია ღებრანძე</t>
  </si>
  <si>
    <t>შპს "ჯიემთი მთაწმინდა"</t>
  </si>
  <si>
    <t>შპს "რესტორან-მუზეუმი გუჯარი"</t>
  </si>
  <si>
    <t>შპს "სერვისეირი"</t>
  </si>
  <si>
    <t>შპს "გურმე"</t>
  </si>
  <si>
    <t>ი.მ. გიორგი კობალაძე</t>
  </si>
  <si>
    <t>დაბა ბაკურიანის საინფორმაციო ცენტრის საპროექტო-საინჟინრო სამუშაოები</t>
  </si>
  <si>
    <t>ფ.პ. მარიამ გოგოსაშვილი</t>
  </si>
  <si>
    <t>შპს "სითი ავტო"</t>
  </si>
  <si>
    <t>ი.მ. ლალი ლოხიშვილი</t>
  </si>
  <si>
    <t>თარგმნა და ნოტარიული დამოწმება</t>
  </si>
  <si>
    <t>შპს "EXPO Dinex"</t>
  </si>
  <si>
    <t>საგამოფენო სტენდის მშენებლობა ყაზახეთის გამოფენაზე</t>
  </si>
  <si>
    <t>27.03.2017</t>
  </si>
  <si>
    <t>CMR170078657</t>
  </si>
  <si>
    <t>CMR170078574</t>
  </si>
  <si>
    <t>CMR170078598</t>
  </si>
  <si>
    <t>SPA170003301</t>
  </si>
  <si>
    <t>CMR170075361</t>
  </si>
  <si>
    <t>01.05.2017</t>
  </si>
  <si>
    <t>CMR170077887</t>
  </si>
  <si>
    <t>CMR170077954</t>
  </si>
  <si>
    <t>CMR170077949</t>
  </si>
  <si>
    <t>CMR170077735</t>
  </si>
  <si>
    <t>CMR170078172</t>
  </si>
  <si>
    <t>CMR170076932</t>
  </si>
  <si>
    <t>07.05.2017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</si>
  <si>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24 მარტის  #565 განკარგულების საფუძველზე (SMP1700000771)</t>
  </si>
  <si>
    <t>CMR170076237</t>
  </si>
  <si>
    <t>28.03.2017</t>
  </si>
  <si>
    <t>CMR170079139</t>
  </si>
  <si>
    <t>29.03.2017</t>
  </si>
  <si>
    <t>01.03.2018</t>
  </si>
  <si>
    <t>CMR170079662</t>
  </si>
  <si>
    <t>CMR170077580</t>
  </si>
  <si>
    <t>30.03.2017</t>
  </si>
  <si>
    <t>CMR170078796</t>
  </si>
  <si>
    <t>CMR170078632</t>
  </si>
  <si>
    <t>CMR170078100</t>
  </si>
  <si>
    <t>31.03.2017</t>
  </si>
  <si>
    <t>CMR170082856</t>
  </si>
  <si>
    <t>CMR170081627</t>
  </si>
  <si>
    <t>CMR170081638</t>
  </si>
  <si>
    <t>CMR170079150</t>
  </si>
  <si>
    <t>CMR170078107</t>
  </si>
  <si>
    <t>CMR170079901</t>
  </si>
  <si>
    <t>CMR170082578</t>
  </si>
  <si>
    <t>CMR170082684</t>
  </si>
  <si>
    <t>CMR170082555</t>
  </si>
  <si>
    <t>CMR170077586</t>
  </si>
  <si>
    <t>NAT170002186</t>
  </si>
  <si>
    <t>CMR170079154</t>
  </si>
  <si>
    <t>30.06.2018</t>
  </si>
  <si>
    <t>CMR170079012</t>
  </si>
  <si>
    <t>CMR170082438</t>
  </si>
  <si>
    <t>CMR170082828</t>
  </si>
  <si>
    <t>CMR170082415</t>
  </si>
  <si>
    <t>CMR170082405</t>
  </si>
  <si>
    <t>CMR170082394</t>
  </si>
  <si>
    <t>CMR170082867</t>
  </si>
  <si>
    <t>CMR170082459</t>
  </si>
  <si>
    <t>CMR170082651</t>
  </si>
  <si>
    <t>CMR170082821</t>
  </si>
  <si>
    <t>03.04.2017</t>
  </si>
  <si>
    <t>CMR170080055</t>
  </si>
  <si>
    <t>CMR170080060</t>
  </si>
  <si>
    <t>CMR170082461</t>
  </si>
  <si>
    <t>CMR170081820</t>
  </si>
  <si>
    <t>CMR170082513</t>
  </si>
  <si>
    <t>CMR170080068</t>
  </si>
  <si>
    <t>CMR170080073</t>
  </si>
  <si>
    <t>CMR170080075</t>
  </si>
  <si>
    <t>CMR170080077</t>
  </si>
  <si>
    <t>CMR170082503</t>
  </si>
  <si>
    <t>CMR170082497</t>
  </si>
  <si>
    <t>CMR170082543</t>
  </si>
  <si>
    <t>CMR170081497</t>
  </si>
  <si>
    <t>CMR170081786</t>
  </si>
  <si>
    <t>CMR170078920</t>
  </si>
  <si>
    <t>CMR170081780</t>
  </si>
  <si>
    <t>04.04.2017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</si>
  <si>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3 აპრილის  #654 განკარგულების საფუძველზე (SMP170000910)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</si>
  <si>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4 აპრილის  #685 განკარგულების საფუძველზე (SMP170000935)</t>
  </si>
  <si>
    <t>CMR170082312</t>
  </si>
  <si>
    <t>CMR170082160</t>
  </si>
  <si>
    <t>CMR170082854</t>
  </si>
  <si>
    <t>CMR170082470</t>
  </si>
  <si>
    <t>05.04.2017</t>
  </si>
  <si>
    <t>06.04.2017</t>
  </si>
  <si>
    <t>CMR170082454</t>
  </si>
  <si>
    <t>07.04.2017</t>
  </si>
  <si>
    <t>SPA170004026</t>
  </si>
  <si>
    <t>CMR170082607</t>
  </si>
  <si>
    <t>CMR170082427</t>
  </si>
  <si>
    <t>CMR170082383</t>
  </si>
  <si>
    <t>CMR170082212</t>
  </si>
  <si>
    <t>CMR170074373</t>
  </si>
  <si>
    <t>1`875.00</t>
  </si>
  <si>
    <t>CMR170067225</t>
  </si>
  <si>
    <t>CMR170067204</t>
  </si>
  <si>
    <t>CMR170074715</t>
  </si>
  <si>
    <t>570.00 </t>
  </si>
  <si>
    <t>349.80 </t>
  </si>
  <si>
    <t>CMR170079731</t>
  </si>
  <si>
    <t>73`707.49</t>
  </si>
  <si>
    <t>შპს მაგთიკომი</t>
  </si>
  <si>
    <t>2`300.00 </t>
  </si>
  <si>
    <t>2`192.50 </t>
  </si>
  <si>
    <t>CMR170067260</t>
  </si>
  <si>
    <t>17`464.00</t>
  </si>
  <si>
    <t>CMR170082898</t>
  </si>
  <si>
    <t>CMR170082864</t>
  </si>
  <si>
    <t>CMR170082874</t>
  </si>
  <si>
    <t>CMR170082884</t>
  </si>
  <si>
    <t>CMR170082890</t>
  </si>
  <si>
    <t>4`518.60</t>
  </si>
  <si>
    <t>CMR170083817</t>
  </si>
  <si>
    <t>1`550.00</t>
  </si>
  <si>
    <t>993.00 </t>
  </si>
  <si>
    <t>CMR170084130</t>
  </si>
  <si>
    <t>CMR170084126</t>
  </si>
  <si>
    <t>CMR170084122</t>
  </si>
  <si>
    <t>CMR170084484</t>
  </si>
  <si>
    <t>CMR170083812</t>
  </si>
  <si>
    <t>CMR170082906</t>
  </si>
  <si>
    <t>2`990.00</t>
  </si>
  <si>
    <t>სპეციალიზირებული კლასის ავტომობილის ტექნიკური მომსახურება</t>
  </si>
  <si>
    <t>10.02.2016</t>
  </si>
  <si>
    <t>CMR160053728</t>
  </si>
  <si>
    <t>რომპერტოლ საქართველო</t>
  </si>
  <si>
    <t>საწვავი - ბენზინი</t>
  </si>
  <si>
    <t xml:space="preserve">სს "სილქნეტი"   </t>
  </si>
  <si>
    <t>სატელეკომუნიკაციო მომსახურება</t>
  </si>
  <si>
    <t>06.01.2016</t>
  </si>
  <si>
    <t>31.12.2015</t>
  </si>
  <si>
    <t>CMR160012346</t>
  </si>
  <si>
    <t>CMR160012359</t>
  </si>
  <si>
    <t>(სახელმწიფო შესყიდვების სააგენტოს თავმჯდომარის 2015 წლის 17 აგვისტოს №13 ბრძანებით დამტკიცებული „გამარტივებული შესყიდვის კრიტერიუმებისა და გამარტივებული შესყიდვის ჩატარების წესის“ მე-3 მუხლის პირველი პუნქტების „ა“ ქვეპუნქტის და სახელმწიფო შესყიდვების სააგენტოს თავმჯდომარის 2015 წლის 31 დეკემბრის №1963 განკარგულების შესაბამისად (SMP150001428))</t>
  </si>
  <si>
    <t>CMR160003692</t>
  </si>
  <si>
    <t>CMR160033894</t>
  </si>
  <si>
    <t>სახელმძღვანელოს ბეჭდვა</t>
  </si>
  <si>
    <t>ი.მ. ალექსანდრე იურევიჩ ვენჯინი"</t>
  </si>
  <si>
    <t>ონლაინ სარეკლამო კამპანია რუსეთის ფედერაციაში</t>
  </si>
  <si>
    <t>ფ.პ. ვიქტორია ბერიაშვილი</t>
  </si>
  <si>
    <t>შპს "ITL Leisure Tourism and Travel company"</t>
  </si>
  <si>
    <t>პრეზენტაციების ორგანიზება საუდის არაბეთში"</t>
  </si>
  <si>
    <t>შპს "ქართული მემკვიდრეობა"</t>
  </si>
  <si>
    <t>შპს "საგვარეულო მარანი"</t>
  </si>
  <si>
    <t>ფ.პ. ქეთევან ახობაძე</t>
  </si>
  <si>
    <t>შპს "ვი აი პი თრეველი"</t>
  </si>
  <si>
    <t>ფ.პ. ალექსანდრე პაიკიძე</t>
  </si>
  <si>
    <t>ღვინის გიდის ტრენინგი</t>
  </si>
  <si>
    <t>ფ.პ. ემილი ვუდი</t>
  </si>
  <si>
    <t xml:space="preserve">სატრენინგო მომსახურება </t>
  </si>
  <si>
    <t>შპს "მაქრო ტურიზმი"</t>
  </si>
  <si>
    <t>შპს "დეკორი"</t>
  </si>
  <si>
    <t>საკანცელარიო საქონელის შესყიდვა</t>
  </si>
  <si>
    <t>შპს "ჰბ გუდაური"</t>
  </si>
  <si>
    <t>ი.მ. რამაზი კვატაშიძე</t>
  </si>
  <si>
    <t>ი.მ. ნიკოლოზ ბენიძე</t>
  </si>
  <si>
    <t>შპს "ბულაჩაური 2017"</t>
  </si>
  <si>
    <t>შპს "სიტი პარკი"</t>
  </si>
  <si>
    <t>ავტომობილის სადგომის ღირებულება</t>
  </si>
  <si>
    <t>შპს "fairservices.net"</t>
  </si>
  <si>
    <t>სტენდის აგების მომსახურება ფრანკფურტის გამოფენაზე</t>
  </si>
  <si>
    <t>შპს "Mind Spirit Designs &amp; works LLC"</t>
  </si>
  <si>
    <t>სტენდის აგების მომსახურება დუბაის გამოფენაზე</t>
  </si>
  <si>
    <t>ფ.პ. ჯული პილინგტონი</t>
  </si>
  <si>
    <t>სატრენინგო მომსახურება</t>
  </si>
  <si>
    <t>შპს "GIOX"</t>
  </si>
  <si>
    <t>უნიფორმები</t>
  </si>
  <si>
    <t>სს "გამოფენების ცენტრი"</t>
  </si>
  <si>
    <t>Travelscape, LLC</t>
  </si>
  <si>
    <t>ინტერნეტ სარეკლამო კამპანია</t>
  </si>
  <si>
    <t>ზეთის შესყიდვა</t>
  </si>
  <si>
    <t>შპს "ფანო"</t>
  </si>
  <si>
    <t xml:space="preserve"> რეზინის ხელთათმანების შესყიდვა</t>
  </si>
  <si>
    <t>პოლიეთილენის პარკის შესყიდვა</t>
  </si>
  <si>
    <t>შპს "აუთლაინი"</t>
  </si>
  <si>
    <t>სარეკლამო კამპანიის ორგანიზების მომსახურების შესყიდვა</t>
  </si>
  <si>
    <t>შპს "ჯეო ტექსტილი"</t>
  </si>
  <si>
    <t>ბრენდირებული მაისურების შესყიდვა</t>
  </si>
  <si>
    <t>შპს ვიპ თრეველ ჯორჯია</t>
  </si>
  <si>
    <t>ი.მ. შორენა რობიტაშვილი</t>
  </si>
  <si>
    <t>შპს "IRRICULT GE"</t>
  </si>
  <si>
    <t>ი.მ ნიკოლოზ ბენიძე</t>
  </si>
  <si>
    <t>ი.მ თენგიზ თაბუნიძე</t>
  </si>
  <si>
    <t>შპს ავტო ტრანსპორტ სერვისი</t>
  </si>
  <si>
    <t>შპს ჯი-ემ-თი</t>
  </si>
  <si>
    <t>შპს სითი ლოფტი</t>
  </si>
  <si>
    <t>ი.მ. ელენა საფრონოვა-ბოლოთაშვილი</t>
  </si>
  <si>
    <t>ქართული ღვინის შესყიდვა</t>
  </si>
  <si>
    <t>შპს თურსა</t>
  </si>
  <si>
    <t xml:space="preserve"> საწმენდი და საპრიალებელი პროდუქცია</t>
  </si>
  <si>
    <t>10.04.2017</t>
  </si>
  <si>
    <t>SPA170003300</t>
  </si>
  <si>
    <t>12.04.2017</t>
  </si>
  <si>
    <t>CMR170085923</t>
  </si>
  <si>
    <t>CMR170085632</t>
  </si>
  <si>
    <t>13.04.2017</t>
  </si>
  <si>
    <t>CMR170088036</t>
  </si>
  <si>
    <t>CMR170087547</t>
  </si>
  <si>
    <t>CMR170086600</t>
  </si>
  <si>
    <t>CMR170086610</t>
  </si>
  <si>
    <t>CMR170086793</t>
  </si>
  <si>
    <t>CMR170088071</t>
  </si>
  <si>
    <t>CMR170085843</t>
  </si>
  <si>
    <t>CMR170085623</t>
  </si>
  <si>
    <t>CMR170085626</t>
  </si>
  <si>
    <t>CMR170085731</t>
  </si>
  <si>
    <t>18.04.2017</t>
  </si>
  <si>
    <t>CMR170090195</t>
  </si>
  <si>
    <t>CMR170088710</t>
  </si>
  <si>
    <t>CMR170090466</t>
  </si>
  <si>
    <t>CMR170089294</t>
  </si>
  <si>
    <t>CMR170088740</t>
  </si>
  <si>
    <t xml:space="preserve"> CMR170090813</t>
  </si>
  <si>
    <t>CMR170089091</t>
  </si>
  <si>
    <t>SPA170004769</t>
  </si>
  <si>
    <t>19.04.2017</t>
  </si>
  <si>
    <t xml:space="preserve"> CMR170089167</t>
  </si>
  <si>
    <t>CMR170088838</t>
  </si>
  <si>
    <t>CMR170088846</t>
  </si>
  <si>
    <t>CMR170088855</t>
  </si>
  <si>
    <t>CMR170086801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</si>
  <si>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23 მარტის  #539 განკარგულების საფუძველზე (SMP170000735)</t>
  </si>
  <si>
    <t>CMR170087289</t>
  </si>
  <si>
    <t>CMR170087244</t>
  </si>
  <si>
    <t>20.04.2017</t>
  </si>
  <si>
    <t>CMR170087514</t>
  </si>
  <si>
    <t>SPA170004536</t>
  </si>
  <si>
    <t xml:space="preserve"> CMR170087854</t>
  </si>
  <si>
    <t>CMR170088571</t>
  </si>
  <si>
    <t>CMR170089985</t>
  </si>
  <si>
    <t>21.04.2017</t>
  </si>
  <si>
    <t>24.04.2017</t>
  </si>
  <si>
    <t>CMR170088780</t>
  </si>
  <si>
    <t>CMR170088806</t>
  </si>
  <si>
    <t>CMR170089712</t>
  </si>
  <si>
    <t>SPA170004772</t>
  </si>
  <si>
    <t>25.04.2017</t>
  </si>
  <si>
    <t>CMR170090800</t>
  </si>
  <si>
    <t xml:space="preserve"> CMR170090807</t>
  </si>
  <si>
    <t>26.04.2017</t>
  </si>
  <si>
    <t xml:space="preserve">საქართველოს კანონი სახელმწიფო შესყიდვების შესახებ, მე-3 მუხლის 1  პუნქტის "ს1" ქვეპუნქტი </t>
  </si>
  <si>
    <t>CMR170084964</t>
  </si>
  <si>
    <t>8`028.69</t>
  </si>
  <si>
    <t>1`200.00</t>
  </si>
  <si>
    <t>შპს "აერო ექსპედიშენ"</t>
  </si>
  <si>
    <t>სს "ნინო"</t>
  </si>
  <si>
    <t>CMR170085134</t>
  </si>
  <si>
    <t>CMR170085169</t>
  </si>
  <si>
    <t>CMR170085329</t>
  </si>
  <si>
    <t>7`298.70</t>
  </si>
  <si>
    <t>3`000.00</t>
  </si>
  <si>
    <t>1`075.00</t>
  </si>
  <si>
    <t>57`525.00</t>
  </si>
  <si>
    <t>CMR170082464</t>
  </si>
  <si>
    <t>CMR170085376</t>
  </si>
  <si>
    <t>CMR170085182</t>
  </si>
  <si>
    <t>1`948.88 </t>
  </si>
  <si>
    <t>335.00 </t>
  </si>
  <si>
    <t>CMR170086604</t>
  </si>
  <si>
    <t>8`520.88</t>
  </si>
  <si>
    <t>2`210.00 </t>
  </si>
  <si>
    <t>CMR170072993</t>
  </si>
  <si>
    <t>2`112.00</t>
  </si>
  <si>
    <t>CMR170084946</t>
  </si>
  <si>
    <t>28`920.71</t>
  </si>
  <si>
    <t>2`287.50</t>
  </si>
  <si>
    <t>CMR170085025</t>
  </si>
  <si>
    <t>4`000.00</t>
  </si>
  <si>
    <t>1`089.00 </t>
  </si>
  <si>
    <t>CMR170089154</t>
  </si>
  <si>
    <t>339.46 </t>
  </si>
  <si>
    <t>1`032.90</t>
  </si>
  <si>
    <t>1`275.00</t>
  </si>
  <si>
    <t>2`950.00</t>
  </si>
  <si>
    <t>1`470.00</t>
  </si>
  <si>
    <t>CMR170084546</t>
  </si>
  <si>
    <t>1`073.82 </t>
  </si>
  <si>
    <t>1`656.25</t>
  </si>
  <si>
    <t>1`750.00 </t>
  </si>
  <si>
    <t>ი.მ. ელიზბარ კუტალია</t>
  </si>
  <si>
    <t xml:space="preserve">შპს "ავიაქსელი" </t>
  </si>
  <si>
    <t>შპს ვარძია</t>
  </si>
  <si>
    <t>შპს ლოპოტა</t>
  </si>
  <si>
    <t>ფ.პ. მედეა მუმლაძე</t>
  </si>
  <si>
    <t>შპს ინტერჯორჯია</t>
  </si>
  <si>
    <t>ი.მ ნანული ჭელიძე</t>
  </si>
  <si>
    <t>ფ.პ. თამარ ნათენაძე</t>
  </si>
  <si>
    <t>შპს სავაჭრო სახლი კახელები</t>
  </si>
  <si>
    <t>შპს მუზეუმი</t>
  </si>
  <si>
    <t>ი.მ ბაბუა ალუდაური</t>
  </si>
  <si>
    <t>შპს ბორჯომი ლიკანი ინტერნეიშენალი</t>
  </si>
  <si>
    <t>შპს სითი აუტო</t>
  </si>
  <si>
    <t>შპს ესთიაი ჯორჯია</t>
  </si>
  <si>
    <t>შპს ბითიელი</t>
  </si>
  <si>
    <t>შპს ქარხანა</t>
  </si>
  <si>
    <t>შპს აიღვინის სახლი</t>
  </si>
  <si>
    <t>შპს ვილა იყალთო ჰო-რე-კა</t>
  </si>
  <si>
    <t>ფ.პ. გიორგი დარციმელია</t>
  </si>
  <si>
    <t>შპს კ &amp; მ რესტორნები</t>
  </si>
  <si>
    <t>შპს პარკ ჰოტელი</t>
  </si>
  <si>
    <t>შპს შავი ლომი</t>
  </si>
  <si>
    <t>შპს რესტორანი ძველი მეტეხი</t>
  </si>
  <si>
    <t>შპს ქართული რესტორანი</t>
  </si>
  <si>
    <t>შპს საერთაშორისო კორპორაცია აი სი არ</t>
  </si>
  <si>
    <t>ი.მ. ნანული ჭელიძე</t>
  </si>
  <si>
    <t>შპს "144 სთეარს კაფე ოუთ გალერი"</t>
  </si>
  <si>
    <t>შპს "თრეველსტუდიო"</t>
  </si>
  <si>
    <t>შპს "ლაზი"</t>
  </si>
  <si>
    <t>ფ.პ. ირაკლი ზურაბაშვილი</t>
  </si>
  <si>
    <t>შპს "კარგო ლოჯისთიქს გრუფ ჯორჯია"</t>
  </si>
  <si>
    <t>სტენდის გადაზიდვა და აწყობა</t>
  </si>
  <si>
    <t>შპს "Voyage Tours LLC"</t>
  </si>
  <si>
    <t>პრეზენტაციის ორგანიზება</t>
  </si>
  <si>
    <t>ფ.პ. ზვიადი ბეჭვაია</t>
  </si>
  <si>
    <t>სსიპ დაცვის პოლიციის დეპარტამენტი</t>
  </si>
  <si>
    <t>ბაკურიანის საინფორმაციო ცენტრის დაცვით მომსახურება</t>
  </si>
  <si>
    <t>შპს "ჯი-ემ-თი მთაწმინდა"</t>
  </si>
  <si>
    <t>შპს "ქეთო და კოტე"</t>
  </si>
  <si>
    <t>ფ.პ. ირაკლი ჩაფიჩაძე</t>
  </si>
  <si>
    <t>ფ.პ. სოფიო მაყაშვილი</t>
  </si>
  <si>
    <t>შპს "JSTAR Management Solution Co. Ltd"</t>
  </si>
  <si>
    <t>სტენდის აგების მომსახურება კორეის გამოფენაზე</t>
  </si>
  <si>
    <t>შპს "ალეგრო"</t>
  </si>
  <si>
    <t>შპს "ჯორჯიან ჰოტელ მენეჯმენტი"</t>
  </si>
  <si>
    <t>შპს "სასტუმრო ანაკლია"</t>
  </si>
  <si>
    <t>შპს "შანო კაპიტალი"</t>
  </si>
  <si>
    <t>შპს "არგო მენეჯმენტი"</t>
  </si>
  <si>
    <t>შპს "პალატი"</t>
  </si>
  <si>
    <t>ფლაერების ბეჭდვა</t>
  </si>
  <si>
    <t>შპს "სააჩი ენდ სააჩი"</t>
  </si>
  <si>
    <t>სარეკლამო და მარკეტინგული მომსახურება</t>
  </si>
  <si>
    <t>შპს "ავენტურა"</t>
  </si>
  <si>
    <t>ნებართვა სტატიის გამოყენებაზე</t>
  </si>
  <si>
    <t>LLC Guardian</t>
  </si>
  <si>
    <t>შპს "წანარეთი"</t>
  </si>
  <si>
    <t>შპს "ხევი"</t>
  </si>
  <si>
    <t>შპს "მეხუთე სეზონი"</t>
  </si>
  <si>
    <t>ი.მ. პავლე დავაძე</t>
  </si>
  <si>
    <t>ი.მ. დალი ჩუბინიძე</t>
  </si>
  <si>
    <t>ააიპ "დასტაქარი"</t>
  </si>
  <si>
    <t>ფ.პ. მაიკო ქავთარაძე</t>
  </si>
  <si>
    <t>შპს "ვიპ თრეველ ჯორჯია"</t>
  </si>
  <si>
    <t>ი.მ. თეიმურაზ მოდებაძე</t>
  </si>
  <si>
    <t>შპს "მუხამბაზ გარდენ"</t>
  </si>
  <si>
    <t>შპს "ნიუ სერვის გრუპი"</t>
  </si>
  <si>
    <t>ფ.პ. მარიამ კერესელიძე</t>
  </si>
  <si>
    <t>თარგმნის მომასახურება</t>
  </si>
  <si>
    <t>შპს "ოპტიმალ სერვისი"</t>
  </si>
  <si>
    <t>სარეკლამო მასალების შესყიდვა</t>
  </si>
  <si>
    <t>CMR170095597</t>
  </si>
  <si>
    <t>27.04.2017</t>
  </si>
  <si>
    <t>CMR170095779</t>
  </si>
  <si>
    <t>28.04.2017</t>
  </si>
  <si>
    <t>CMR170095520</t>
  </si>
  <si>
    <t>CMR170096614</t>
  </si>
  <si>
    <t>CMR170094967</t>
  </si>
  <si>
    <t>CMR170094952</t>
  </si>
  <si>
    <t>CMR170095173</t>
  </si>
  <si>
    <t>CMR170096668</t>
  </si>
  <si>
    <t>CMR170096662</t>
  </si>
  <si>
    <t>CMR170096270</t>
  </si>
  <si>
    <t>CMR170096197</t>
  </si>
  <si>
    <t>CMR170095538</t>
  </si>
  <si>
    <t>CMR170092565</t>
  </si>
  <si>
    <t>CMR170096498</t>
  </si>
  <si>
    <t>CMR170092560</t>
  </si>
  <si>
    <t>CMR170095790</t>
  </si>
  <si>
    <t>CMR170095791</t>
  </si>
  <si>
    <t>CMR170095822</t>
  </si>
  <si>
    <t>CMR170096673</t>
  </si>
  <si>
    <t>CMR170095821</t>
  </si>
  <si>
    <t>CMR170097168</t>
  </si>
  <si>
    <t>CMR170097381</t>
  </si>
  <si>
    <t>CMR170097344</t>
  </si>
  <si>
    <t>CMR170097149</t>
  </si>
  <si>
    <t>CMR170097306</t>
  </si>
  <si>
    <t>CMR170092747</t>
  </si>
  <si>
    <t>CMR170097319</t>
  </si>
  <si>
    <t>CMR170092777</t>
  </si>
  <si>
    <t>CMR170092654</t>
  </si>
  <si>
    <t>CMR170092757</t>
  </si>
  <si>
    <t>CMR170092741</t>
  </si>
  <si>
    <t>CMR170098491</t>
  </si>
  <si>
    <t>CMR170097333</t>
  </si>
  <si>
    <t>CMR170095820</t>
  </si>
  <si>
    <t>CMR170094368</t>
  </si>
  <si>
    <t>CMR170093352</t>
  </si>
  <si>
    <t>CMR170097605</t>
  </si>
  <si>
    <t>CMR170096207</t>
  </si>
  <si>
    <t>CMR170097645</t>
  </si>
  <si>
    <t>02.05.2017</t>
  </si>
  <si>
    <t>CMR170097144</t>
  </si>
  <si>
    <t>CMR170095214</t>
  </si>
  <si>
    <t>CMR170095532</t>
  </si>
  <si>
    <t>CMR170098534</t>
  </si>
  <si>
    <t>CMR170098524</t>
  </si>
  <si>
    <t>CMR170098536</t>
  </si>
  <si>
    <t>03.05.2017</t>
  </si>
  <si>
    <t>CMR170096227</t>
  </si>
  <si>
    <t>CMR170096219</t>
  </si>
  <si>
    <t>CMR170097629</t>
  </si>
  <si>
    <t>SPA170005888</t>
  </si>
  <si>
    <t>CMR170094274</t>
  </si>
  <si>
    <t>CMR170098331</t>
  </si>
  <si>
    <t>CMR170097657</t>
  </si>
  <si>
    <t>CMR170097641</t>
  </si>
  <si>
    <t>04.05.2017</t>
  </si>
  <si>
    <t>CMR170097622</t>
  </si>
  <si>
    <t>CMR170098531</t>
  </si>
  <si>
    <t>CMR170098525</t>
  </si>
  <si>
    <t>CMR170098537</t>
  </si>
  <si>
    <t>05.05.2017</t>
  </si>
  <si>
    <t>CMR170097058</t>
  </si>
  <si>
    <t>CMR170097122</t>
  </si>
  <si>
    <t>CMR170097041</t>
  </si>
  <si>
    <t>CMR170096135</t>
  </si>
  <si>
    <t>CMR170098539</t>
  </si>
  <si>
    <t>CMR170098528</t>
  </si>
  <si>
    <t>08.05.2017</t>
  </si>
  <si>
    <t>CMR170097642</t>
  </si>
  <si>
    <t>10.05.2017</t>
  </si>
  <si>
    <t>CMR170098297</t>
  </si>
  <si>
    <t>11.05.2017</t>
  </si>
  <si>
    <t>CMR170099163</t>
  </si>
  <si>
    <t>CMR170099189</t>
  </si>
  <si>
    <t>CMR170099177</t>
  </si>
  <si>
    <t>CMR170099106</t>
  </si>
  <si>
    <t>CMR170099012</t>
  </si>
  <si>
    <t>CMR170099097</t>
  </si>
  <si>
    <t>15.05.2017</t>
  </si>
  <si>
    <t>437.50 </t>
  </si>
  <si>
    <t>2`630.00</t>
  </si>
  <si>
    <t>629.90 </t>
  </si>
  <si>
    <t>5`430.00</t>
  </si>
  <si>
    <t>4`112.84</t>
  </si>
  <si>
    <t>831.45 </t>
  </si>
  <si>
    <t>CMR170092587</t>
  </si>
  <si>
    <t>1`410.00</t>
  </si>
  <si>
    <t>CMR170092566</t>
  </si>
  <si>
    <t>CMR170092523</t>
  </si>
  <si>
    <t>CMR170092529</t>
  </si>
  <si>
    <t>CMR170092731</t>
  </si>
  <si>
    <t>CMR170092589</t>
  </si>
  <si>
    <t>CMR170092598</t>
  </si>
  <si>
    <t>CMR170094585</t>
  </si>
  <si>
    <t>CMR170092544</t>
  </si>
  <si>
    <t>97.35 </t>
  </si>
  <si>
    <t>1`030.00 </t>
  </si>
  <si>
    <t>99.00 </t>
  </si>
  <si>
    <t>CMR170091756</t>
  </si>
  <si>
    <t>CMR170091779</t>
  </si>
  <si>
    <t>CMR170091787</t>
  </si>
  <si>
    <t>2`997.20</t>
  </si>
  <si>
    <t>12`173.82 </t>
  </si>
  <si>
    <t>CMR170093989</t>
  </si>
  <si>
    <t>CMR170095478</t>
  </si>
  <si>
    <t>CMR170095473</t>
  </si>
  <si>
    <t>CMR170091702</t>
  </si>
  <si>
    <t>CMR170091603</t>
  </si>
  <si>
    <t>CMR170091613</t>
  </si>
  <si>
    <t>CMR170091481</t>
  </si>
  <si>
    <t>CMR170095132</t>
  </si>
  <si>
    <t>CMR170095138</t>
  </si>
  <si>
    <t>3`720.85 </t>
  </si>
  <si>
    <t>650.00 </t>
  </si>
  <si>
    <t>1`096.50</t>
  </si>
  <si>
    <t>202.50 </t>
  </si>
  <si>
    <t>1`000.00</t>
  </si>
  <si>
    <t>173.25 </t>
  </si>
  <si>
    <t>1`296.25</t>
  </si>
  <si>
    <t>2`602.00 </t>
  </si>
  <si>
    <t>1`187.50</t>
  </si>
  <si>
    <t>1`980.00</t>
  </si>
  <si>
    <t>61.60 </t>
  </si>
  <si>
    <t>3`150.00</t>
  </si>
  <si>
    <t>CMR170073585</t>
  </si>
  <si>
    <t>60.00 </t>
  </si>
  <si>
    <t>CMR170088162</t>
  </si>
  <si>
    <t>CMR170076042</t>
  </si>
  <si>
    <t>CMR170081101</t>
  </si>
  <si>
    <t>CMR170095784</t>
  </si>
  <si>
    <t>CMR170095786</t>
  </si>
  <si>
    <t>CMR170095788</t>
  </si>
  <si>
    <t>CMR170095783</t>
  </si>
  <si>
    <t>17.04.2017</t>
  </si>
  <si>
    <t>CMR170091055</t>
  </si>
  <si>
    <t>CMR170095990</t>
  </si>
  <si>
    <t>CMR170099367</t>
  </si>
  <si>
    <t>CMR170099396</t>
  </si>
  <si>
    <t>CMR170098747</t>
  </si>
  <si>
    <t>CMR170099660</t>
  </si>
  <si>
    <t>CMR170099236</t>
  </si>
  <si>
    <t>CMR170101537</t>
  </si>
  <si>
    <t>CMR170100516</t>
  </si>
  <si>
    <t>CMR170100915</t>
  </si>
  <si>
    <t>CMR170100973</t>
  </si>
  <si>
    <t>CMR170101014</t>
  </si>
  <si>
    <t>CMR170101000</t>
  </si>
  <si>
    <t>CMR170101009</t>
  </si>
  <si>
    <t>CMR170100928</t>
  </si>
  <si>
    <t>CMR170100990</t>
  </si>
  <si>
    <t>CMR170100114</t>
  </si>
  <si>
    <t>CMR170100610</t>
  </si>
  <si>
    <t>CMR170100922</t>
  </si>
  <si>
    <t>CMR170101466</t>
  </si>
  <si>
    <t>CMR170100740</t>
  </si>
  <si>
    <t>CMR170100152</t>
  </si>
  <si>
    <t>CMR170101531</t>
  </si>
  <si>
    <t>CMR170100320</t>
  </si>
  <si>
    <t>CMR170100147</t>
  </si>
  <si>
    <t>CMR170100141</t>
  </si>
  <si>
    <t>CMR170100140</t>
  </si>
  <si>
    <t>CMR170100726</t>
  </si>
  <si>
    <t>CMR170100753</t>
  </si>
  <si>
    <t>CMR170100720</t>
  </si>
  <si>
    <t>CMR170100710</t>
  </si>
  <si>
    <t>CMR170101453</t>
  </si>
  <si>
    <t>CMR170100703</t>
  </si>
  <si>
    <t>CMR170101762</t>
  </si>
  <si>
    <t>CMR170100142</t>
  </si>
  <si>
    <t>CMR170100783</t>
  </si>
  <si>
    <t>CMR170099254</t>
  </si>
  <si>
    <t>CMR170100146</t>
  </si>
  <si>
    <t>CMR170099253</t>
  </si>
  <si>
    <t>CMR170100139</t>
  </si>
  <si>
    <t>CMR170100769</t>
  </si>
  <si>
    <t>CMR170100143</t>
  </si>
  <si>
    <t>CMR170102201</t>
  </si>
  <si>
    <t>CMR170102218</t>
  </si>
  <si>
    <t>CMR170102223</t>
  </si>
  <si>
    <t>CMR170102194</t>
  </si>
  <si>
    <t>CMR170103039</t>
  </si>
  <si>
    <t>CMR170103047</t>
  </si>
  <si>
    <t>CMR170102767</t>
  </si>
  <si>
    <t>CMR170101006</t>
  </si>
  <si>
    <t>CMR170104150</t>
  </si>
  <si>
    <t>CMR170102983</t>
  </si>
  <si>
    <t>CMR170102986</t>
  </si>
  <si>
    <t>CMR170105062</t>
  </si>
  <si>
    <t>შპს "მანი"</t>
  </si>
  <si>
    <t>შპს "წყალტუბო პლაზა"</t>
  </si>
  <si>
    <t>შპს "ITL Leisure Tourism and Travel Company"</t>
  </si>
  <si>
    <t>პრეზენტაციის ორგანიზება არაბთა გაერთიანებუულ საემიროებში</t>
  </si>
  <si>
    <t>ი.მ. ნიკოლოზ ბუცხრიკიძე</t>
  </si>
  <si>
    <t>ი.მ. აბესალომ კვირკველია</t>
  </si>
  <si>
    <t>შპს "დადვანი ჯგუფი"</t>
  </si>
  <si>
    <t>სს "კოკა-კოლა ბოთლერს ჯორჯია"</t>
  </si>
  <si>
    <t>შპს "პოლიფონია"</t>
  </si>
  <si>
    <t>შპს "ალმა"</t>
  </si>
  <si>
    <t>გარე რეკლამა აეროპორტებში</t>
  </si>
  <si>
    <t>ააიპ საქართველოს ეკოტურიზმის ასოციაცია</t>
  </si>
  <si>
    <t>შიდა და ქვემო ქართლში მარშრუტების კვლევისა და სამთო-საფეხმავლო ბილიკების ქსელის მოსაწყობად დაპროექტების მომსახურების შესყიდვა</t>
  </si>
  <si>
    <t>შპს "ლისი რესტ"</t>
  </si>
  <si>
    <t>ი.მ. ეთი კრიხელი - ნიუ ჯორჯია"</t>
  </si>
  <si>
    <t>ი.მ. ნარინე ბაროიანი</t>
  </si>
  <si>
    <t>შპს "კინგ დავიდ"</t>
  </si>
  <si>
    <t>პრეზენტაციის ორგანიზება ბაჰრეინში</t>
  </si>
  <si>
    <t>შპს "აკა გრუპი+"</t>
  </si>
  <si>
    <t>სს "ბორჯომი ლიკანი ინთერნეიშენალი"</t>
  </si>
  <si>
    <t>შპს "კახელები"</t>
  </si>
  <si>
    <t>შპს "ნიუ სერვის გრუპ"</t>
  </si>
  <si>
    <t>შპს "გოგებაშვილის 30"</t>
  </si>
  <si>
    <t>ფ.პ. სალომე გიგაური</t>
  </si>
  <si>
    <t>შპს "კულინატი"</t>
  </si>
  <si>
    <t>რეკლამა ჟურნალში georgia to see</t>
  </si>
  <si>
    <t>შპს "მეტრო სქაი თაუერი"</t>
  </si>
  <si>
    <t>შპს "ჯორჯიან ივენთსი"</t>
  </si>
  <si>
    <t>დიპლომატიური ტურის ღონისძიების ორგანიზება</t>
  </si>
  <si>
    <t>26 მაისის ღონისძიების ორგანიზება</t>
  </si>
  <si>
    <t>ფორბსი</t>
  </si>
  <si>
    <t>ნებართვა</t>
  </si>
  <si>
    <t>შპს "ვიაიპი თრეველი"</t>
  </si>
  <si>
    <t>შპს "გეგაპიქსელი"</t>
  </si>
  <si>
    <t>ტელევიზორების შესყიდვა</t>
  </si>
  <si>
    <t>ამხანაგობა "კულინარიუმ ქუქინგ სქულ"</t>
  </si>
  <si>
    <t>584/1</t>
  </si>
  <si>
    <t>შპს "ეკა"</t>
  </si>
  <si>
    <t>შპს "როიალ დრიმს"</t>
  </si>
  <si>
    <t>სვანეთის ღონისძიება</t>
  </si>
  <si>
    <t>ააიპ "სათავგადასავლო ტურიზმის განვითარების ასოციაცია"</t>
  </si>
  <si>
    <t>რაჭა-ლეჩხუმის და ქვემო სვანეთის სალაშქრო-საფეხმავლო ბილიკების მონიშვნისა და ინფრასტრუქტურის მოწყობის სამუშაოები</t>
  </si>
  <si>
    <t>შპს "სათავგადასავლო კლუბი ჯომარდი"</t>
  </si>
  <si>
    <t>ვარძიაში სპორტული ღონისძიების ორგანიზება</t>
  </si>
  <si>
    <t>სს "კოკა კოლა ბოთლერს ჯორჯია"</t>
  </si>
  <si>
    <t>შპს "სამება"</t>
  </si>
  <si>
    <t>შპს "ლეღვი"</t>
  </si>
  <si>
    <t>შპს "შალოშვილის მარანი"</t>
  </si>
  <si>
    <t>შპს "სასტუმრო ყაზბეგი"</t>
  </si>
  <si>
    <t>შპს "nat geo"</t>
  </si>
  <si>
    <t>შპს "უოლქერს"</t>
  </si>
  <si>
    <t>ღონისძიების ორგანიზება</t>
  </si>
  <si>
    <t>ი.მ. თენგიზ თაბუნიძე</t>
  </si>
  <si>
    <t>სს"ბორჯომი ლიკანი ინთერნეიშენალი"</t>
  </si>
  <si>
    <t>შპს "მარტვილი პალასი"</t>
  </si>
  <si>
    <t>სს "hualing international special economic zone"</t>
  </si>
  <si>
    <t>12.05.2017</t>
  </si>
  <si>
    <t>17.05.2017</t>
  </si>
  <si>
    <t>CMR170101475</t>
  </si>
  <si>
    <t>CMR170101801</t>
  </si>
  <si>
    <t>CMR170103604</t>
  </si>
  <si>
    <t>CMR170105175</t>
  </si>
  <si>
    <t>CMR170105181</t>
  </si>
  <si>
    <t>CMR170105183</t>
  </si>
  <si>
    <t>CMR170105185</t>
  </si>
  <si>
    <t>CMR170105189</t>
  </si>
  <si>
    <t>CMR170105190</t>
  </si>
  <si>
    <t>CMR170105192</t>
  </si>
  <si>
    <t>CMR170102698</t>
  </si>
  <si>
    <t>CMR170104818</t>
  </si>
  <si>
    <t>CMR170104302</t>
  </si>
  <si>
    <t>CMR170104315</t>
  </si>
  <si>
    <t>CMR170105054</t>
  </si>
  <si>
    <t>CMR170104876</t>
  </si>
  <si>
    <t>18.05.2017</t>
  </si>
  <si>
    <t>საქართველოს კანონის სახელმწიფო შესყიდვების შესახებ, მე-10/1 მუხლის 3  პუნქტის "ა" ქვეპუნქტისა და სახელმწიფო შესყიდვების სააგენტოს თავმჯდომარის  2017 წლის 5 მაისის   #1381 განკარგულების საფუძველზე</t>
  </si>
  <si>
    <t>CMR170102780</t>
  </si>
  <si>
    <t>SPA170006283</t>
  </si>
  <si>
    <t>CMR170105056</t>
  </si>
  <si>
    <t>CMR170105080</t>
  </si>
  <si>
    <t>CMR170105042</t>
  </si>
  <si>
    <t>CMR170105033</t>
  </si>
  <si>
    <t>19.05.2017</t>
  </si>
  <si>
    <t>CMR170102231</t>
  </si>
  <si>
    <t>CMR170104593</t>
  </si>
  <si>
    <t>CMR170105576</t>
  </si>
  <si>
    <t>CMR170105686</t>
  </si>
  <si>
    <t>CMR170106098</t>
  </si>
  <si>
    <t>CMR170105591</t>
  </si>
  <si>
    <t>CMR170105696</t>
  </si>
  <si>
    <t>CMR170105706</t>
  </si>
  <si>
    <t>CMR170102135</t>
  </si>
  <si>
    <t>CMR170104895</t>
  </si>
  <si>
    <t>CMR170105541</t>
  </si>
  <si>
    <t>CMR170105620</t>
  </si>
  <si>
    <t>CMR170103255</t>
  </si>
  <si>
    <t>CMR170105495</t>
  </si>
  <si>
    <t>CMR170103022</t>
  </si>
  <si>
    <t>CMR170102993</t>
  </si>
  <si>
    <t>CMR170105194</t>
  </si>
  <si>
    <t>CMR170106188</t>
  </si>
  <si>
    <t>CMR170104543</t>
  </si>
  <si>
    <t>CMR170102997</t>
  </si>
  <si>
    <t>CMR170105770</t>
  </si>
  <si>
    <t>CMR170104215</t>
  </si>
  <si>
    <t>CMR170104209</t>
  </si>
  <si>
    <t>CMR170104180</t>
  </si>
  <si>
    <t>CMR170105072</t>
  </si>
  <si>
    <t>CMR170105068</t>
  </si>
  <si>
    <t>22.05.2017</t>
  </si>
  <si>
    <t>CMR170104105</t>
  </si>
  <si>
    <t>CMR170105713</t>
  </si>
  <si>
    <t>23.05.2017</t>
  </si>
  <si>
    <t>SPA170005905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</si>
  <si>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18 მაისის  #966 განკარგულების საფუძველზე (SMP1700001233)</t>
  </si>
  <si>
    <t>CMR170105723</t>
  </si>
  <si>
    <t>24.05.2017</t>
  </si>
  <si>
    <t>CMR170105853</t>
  </si>
  <si>
    <t>CMR170105846</t>
  </si>
  <si>
    <t>CMR170106888</t>
  </si>
  <si>
    <t>CMR170108369</t>
  </si>
  <si>
    <t>CMR170107771</t>
  </si>
  <si>
    <t>25.05.2017</t>
  </si>
  <si>
    <t>CMR170107302</t>
  </si>
  <si>
    <t>CMR170108897</t>
  </si>
  <si>
    <t>CMR170108635</t>
  </si>
  <si>
    <t>29.05.2017</t>
  </si>
  <si>
    <t>CMR170106843</t>
  </si>
  <si>
    <t>SPA170005826</t>
  </si>
  <si>
    <t>SPA170005671</t>
  </si>
  <si>
    <t>30.05.2017</t>
  </si>
  <si>
    <t>SPA170006681</t>
  </si>
  <si>
    <t>CMR170108671</t>
  </si>
  <si>
    <t>CMR170108708</t>
  </si>
  <si>
    <t>31.05.2017</t>
  </si>
  <si>
    <t>CMR170109227</t>
  </si>
  <si>
    <t>01.06.2017</t>
  </si>
  <si>
    <t>SPA170005830</t>
  </si>
  <si>
    <t>02.06.2017</t>
  </si>
  <si>
    <t>1`562.50</t>
  </si>
  <si>
    <t>2`190.00</t>
  </si>
  <si>
    <t>1`420.00</t>
  </si>
  <si>
    <t>200.00 </t>
  </si>
  <si>
    <t>600.00 </t>
  </si>
  <si>
    <t>51.50 </t>
  </si>
  <si>
    <t>1`850.00</t>
  </si>
  <si>
    <t>1`040.00</t>
  </si>
  <si>
    <t>Trinity Mirror plc</t>
  </si>
  <si>
    <t>CMR170097569</t>
  </si>
  <si>
    <t>1`700.00</t>
  </si>
  <si>
    <t>6`687.00 </t>
  </si>
  <si>
    <t>1`325.30</t>
  </si>
  <si>
    <t>2`385.00</t>
  </si>
  <si>
    <t>31`253.20</t>
  </si>
  <si>
    <t>6`511.00</t>
  </si>
  <si>
    <t>3`117.30</t>
  </si>
  <si>
    <t>7`353.40</t>
  </si>
  <si>
    <t>1`000.00 </t>
  </si>
  <si>
    <t>550.00 </t>
  </si>
  <si>
    <t>1`050.00 </t>
  </si>
  <si>
    <t>3`196.00 </t>
  </si>
  <si>
    <t>1`834.60 </t>
  </si>
  <si>
    <t>3`765.00 </t>
  </si>
  <si>
    <t>9`506.00</t>
  </si>
  <si>
    <t>370.00 </t>
  </si>
  <si>
    <t>1`256.88</t>
  </si>
  <si>
    <t>1`244.10</t>
  </si>
  <si>
    <t>1`859.00</t>
  </si>
  <si>
    <t>14`886.40 </t>
  </si>
  <si>
    <t>11`270.00 </t>
  </si>
  <si>
    <t>19`354.50</t>
  </si>
  <si>
    <t>5`811.26</t>
  </si>
  <si>
    <t>549.00 </t>
  </si>
  <si>
    <t>347.05 </t>
  </si>
  <si>
    <t>730.86 </t>
  </si>
  <si>
    <t>30`396.90 </t>
  </si>
  <si>
    <t xml:space="preserve">30`396.90 </t>
  </si>
  <si>
    <t>546.15 </t>
  </si>
  <si>
    <t>4`129.02</t>
  </si>
  <si>
    <t>1`875.00 </t>
  </si>
  <si>
    <t>2`320.00</t>
  </si>
  <si>
    <t>260.15 </t>
  </si>
  <si>
    <t>159`550.89</t>
  </si>
  <si>
    <t>2`970.00</t>
  </si>
  <si>
    <t>1`681.25</t>
  </si>
  <si>
    <t xml:space="preserve">
შპს Caucasus Journey - Traveler’s Club</t>
  </si>
  <si>
    <t>8`629.10</t>
  </si>
  <si>
    <t>2`902.00</t>
  </si>
  <si>
    <t>7`720.00</t>
  </si>
  <si>
    <t>9`335.30 </t>
  </si>
  <si>
    <t>382.50 </t>
  </si>
  <si>
    <t>1`268.80 </t>
  </si>
  <si>
    <t>694.10 </t>
  </si>
  <si>
    <t>1`595.83 </t>
  </si>
  <si>
    <t>55`242.39</t>
  </si>
  <si>
    <t>1`329.24 </t>
  </si>
  <si>
    <t>307.24 </t>
  </si>
  <si>
    <t>2`039.57</t>
  </si>
  <si>
    <t>12`619.75</t>
  </si>
  <si>
    <t>20`247.73</t>
  </si>
  <si>
    <t>1`782.50 </t>
  </si>
  <si>
    <t>625.00 </t>
  </si>
  <si>
    <t>4`956.42 </t>
  </si>
  <si>
    <t>10.00 </t>
  </si>
  <si>
    <t>59.00 </t>
  </si>
  <si>
    <t>637.20 </t>
  </si>
  <si>
    <t>131.80 </t>
  </si>
  <si>
    <t>2`558.88</t>
  </si>
  <si>
    <t>48`940.77</t>
  </si>
  <si>
    <t>3`306.00 </t>
  </si>
  <si>
    <t>281.25 </t>
  </si>
  <si>
    <t>245.57 </t>
  </si>
  <si>
    <t>4`800.00</t>
  </si>
  <si>
    <t>2`987.50</t>
  </si>
  <si>
    <t>8`415.00</t>
  </si>
  <si>
    <t>3`038.20 </t>
  </si>
  <si>
    <t>6`240.00 </t>
  </si>
  <si>
    <t>5`005.00</t>
  </si>
  <si>
    <t>182.00 </t>
  </si>
  <si>
    <t>8`100.00</t>
  </si>
  <si>
    <t>18`609.90</t>
  </si>
  <si>
    <t>2`660.00</t>
  </si>
  <si>
    <t>4`480.00</t>
  </si>
  <si>
    <t>4`320.00</t>
  </si>
  <si>
    <t>317.00 </t>
  </si>
  <si>
    <t>7`550.00</t>
  </si>
  <si>
    <t>3`950.00 </t>
  </si>
  <si>
    <t>2`400.00</t>
  </si>
  <si>
    <t>1`440.64</t>
  </si>
  <si>
    <t>180.08 </t>
  </si>
  <si>
    <t>660.00 </t>
  </si>
  <si>
    <t>5`037.78</t>
  </si>
  <si>
    <t>479.10 </t>
  </si>
  <si>
    <t>398.75 </t>
  </si>
  <si>
    <t>6`250.56</t>
  </si>
  <si>
    <t>43`123.10</t>
  </si>
  <si>
    <t>1`735.00</t>
  </si>
  <si>
    <t>100.05 </t>
  </si>
  <si>
    <t>54.02 </t>
  </si>
  <si>
    <t>68.00 </t>
  </si>
  <si>
    <t>3`270.00</t>
  </si>
  <si>
    <t>23`529.49 </t>
  </si>
  <si>
    <t>შპს 
"Movenpick Hotel Bahrain</t>
  </si>
  <si>
    <t>7`144.89</t>
  </si>
  <si>
    <t>6`700.00 </t>
  </si>
  <si>
    <t>1`825.00</t>
  </si>
  <si>
    <t>97`881.00 </t>
  </si>
  <si>
    <t>2`780.00</t>
  </si>
  <si>
    <t>399.30 </t>
  </si>
  <si>
    <t>CMR170111252</t>
  </si>
  <si>
    <t>CMR170109957</t>
  </si>
  <si>
    <t>3`003.50</t>
  </si>
  <si>
    <t>CMR170109652</t>
  </si>
  <si>
    <t>4`539.30</t>
  </si>
  <si>
    <t>შპს "სოლო პალას"</t>
  </si>
  <si>
    <t>20`186.22</t>
  </si>
  <si>
    <t>76.00 </t>
  </si>
  <si>
    <t>4`869.86</t>
  </si>
  <si>
    <t>9`075.01 </t>
  </si>
  <si>
    <t>2`735.80</t>
  </si>
  <si>
    <t>900.00 </t>
  </si>
  <si>
    <t>701.80 </t>
  </si>
  <si>
    <t>2`664.50 </t>
  </si>
  <si>
    <t>1`204.40</t>
  </si>
  <si>
    <t>CMR170113353</t>
  </si>
  <si>
    <t>11`585.40</t>
  </si>
  <si>
    <t>CMR170111029</t>
  </si>
  <si>
    <t>5`162.50 </t>
  </si>
  <si>
    <t>5`950.00 </t>
  </si>
  <si>
    <t>1`542.66</t>
  </si>
  <si>
    <t>CMR170112186</t>
  </si>
  <si>
    <t>შპს "სი თი აუტო"</t>
  </si>
  <si>
    <t>ტელერადიო სიგნალის მიმღები</t>
  </si>
  <si>
    <t>ფოტოკამერის მეხსიერების ბარათი</t>
  </si>
  <si>
    <t>შპს "სეზანი"</t>
  </si>
  <si>
    <t>კატალოგის ბეჭდვა</t>
  </si>
  <si>
    <t>ფ.პ. ნოდარი ხუციშვილი</t>
  </si>
  <si>
    <t>შპს "სერვისეირი-ServiseAir"</t>
  </si>
  <si>
    <t>შპს "ოლდ სეტი"</t>
  </si>
  <si>
    <t>ფ.პ. სალომე მელითაური</t>
  </si>
  <si>
    <t>შპს "ქარვის ბარი"</t>
  </si>
  <si>
    <t>შპს "Argo investment"</t>
  </si>
  <si>
    <t>შპს "ვილლა იყალთო ჰო-რე-კა"</t>
  </si>
  <si>
    <t>შპს "ელექსირი"</t>
  </si>
  <si>
    <t>შპს "საგვვარეულო მარანი"</t>
  </si>
  <si>
    <t>შპს "ბაგრატი 1003"</t>
  </si>
  <si>
    <t>ააიპ "ალავერდის განვითარების ფონდი ტალავერი"</t>
  </si>
  <si>
    <t>შპს "ელგი"</t>
  </si>
  <si>
    <t>შპს "ემ.აი.სი"</t>
  </si>
  <si>
    <t>სარეკლამო კამპანია - ჟურნალში where</t>
  </si>
  <si>
    <t>შპს "ვანილა სქაი ჯორჯია"</t>
  </si>
  <si>
    <t>შპს "PARS international corp"</t>
  </si>
  <si>
    <t>ნიუ იორკ თაიმსის ნებართვა</t>
  </si>
  <si>
    <t>გარე სარეკლამო კამპანია</t>
  </si>
  <si>
    <t>შპს "თეგი"</t>
  </si>
  <si>
    <t>შემომყვანი ტურიზმის კატალოგი</t>
  </si>
  <si>
    <t>ფ.პ. დავით სუჯაშვილი</t>
  </si>
  <si>
    <t>შპს "ანდამატი"</t>
  </si>
  <si>
    <t>შპს"მარულა+"</t>
  </si>
  <si>
    <t>ი.მ. არჩილ ზაქარიაძე</t>
  </si>
  <si>
    <t>ფ.პ. ჯულიეტა ავსაჯანიშვილი</t>
  </si>
  <si>
    <t>LLC "Guardian"</t>
  </si>
  <si>
    <t>ამხანაგობა "ორციხე"</t>
  </si>
  <si>
    <t>ი.მ. ზურაბ ძნელაძე</t>
  </si>
  <si>
    <t>ი.მ. სოფიო გორგაძე</t>
  </si>
  <si>
    <t>შპს "სამციხე"</t>
  </si>
  <si>
    <t>შპს "დელტა დეველოპმენტ გრუპი"</t>
  </si>
  <si>
    <t>თარგმნის მომსახურება</t>
  </si>
  <si>
    <t>ი.მ. აკაკი ხაჩიძე</t>
  </si>
  <si>
    <t>შპს "კურორტი საირმე"</t>
  </si>
  <si>
    <t>შპს "ფროფერთი მენეჯმენტი"</t>
  </si>
  <si>
    <t>ინტერნეტ მომსახურების შესყიდვა</t>
  </si>
  <si>
    <t>შპს "ათ"</t>
  </si>
  <si>
    <t>ი.მ. მაია აიწურაძე</t>
  </si>
  <si>
    <t>ი.მ. კუზმა ოსლოპოვ</t>
  </si>
  <si>
    <t>შპს "გუდ თრეველი"</t>
  </si>
  <si>
    <t>ი.მ. იაკობი ჩიხლაძე</t>
  </si>
  <si>
    <t>შპა "საგვარეულო მარანი"</t>
  </si>
  <si>
    <t>შპს "სანი ტური"</t>
  </si>
  <si>
    <t>შპს "გაზეთი ჯორჯია თუდეი"</t>
  </si>
  <si>
    <t>შპს "თეგეტამოტორსი"</t>
  </si>
  <si>
    <t>შპს "TLC Tbilisi Language Center"</t>
  </si>
  <si>
    <t>შპს "ლერმონტ"</t>
  </si>
  <si>
    <t>სს "ნუროლ ინშაათ ვე თიჯარეთი"</t>
  </si>
  <si>
    <t>შპს "ვილა რეტა"</t>
  </si>
  <si>
    <t>სს "ფუდმარტი"</t>
  </si>
  <si>
    <t>სხვადასხვა საკვები პროდუქტის შესყიდვა</t>
  </si>
  <si>
    <t>შპს "გეორგინა"</t>
  </si>
  <si>
    <t>საკეტების შესყიდვა</t>
  </si>
  <si>
    <t>შპს "სავაჭრო ჯგუფი"</t>
  </si>
  <si>
    <t>გასაბერი თაღის შესყიდვა</t>
  </si>
  <si>
    <t>ფ.პ. ლილი წულაძე</t>
  </si>
  <si>
    <t>ევროვიზიის ფარგლებში პრესასთან ურთიერთობის საკონსულტაციო მომსახურება</t>
  </si>
  <si>
    <t>შპს "რემონტალი"</t>
  </si>
  <si>
    <t>ლაითბოქსები</t>
  </si>
  <si>
    <t>შპს "ჯითი ჰოლდინგი"</t>
  </si>
  <si>
    <t>დაბა ბაკურიანში სპორტული ღონისძიება</t>
  </si>
  <si>
    <t>გუდაურში სპორტული ღონისძიება</t>
  </si>
  <si>
    <t>ი.მ. დავით იდოიძე</t>
  </si>
  <si>
    <t>შპს "სასტუმრო სნო"</t>
  </si>
  <si>
    <t>შპს "ჰბ ფასანაური"</t>
  </si>
  <si>
    <t>შპს "ბეთსი"</t>
  </si>
  <si>
    <t>ფ.პ. გიორგი კუხიანიძე</t>
  </si>
  <si>
    <t>კომპოზიტორის მომსახურება</t>
  </si>
  <si>
    <t>ფ.პ. რუსუდან ყიფიანი</t>
  </si>
  <si>
    <t>მარკეტინგული მომსახურება სარეკლამო კამპანიის ფარგლებში</t>
  </si>
  <si>
    <t>შპს "ბეტსი"</t>
  </si>
  <si>
    <t>შპს "სმარტ რუსთაველი"</t>
  </si>
  <si>
    <t>გაზირებული მინერალური წყლის შესყიდვა</t>
  </si>
  <si>
    <t>შპს "სოფტმასტერ სერვისი"</t>
  </si>
  <si>
    <t>ბილბორდების შეკეთება და ტექნიკური მომსახურება</t>
  </si>
  <si>
    <t>შპს "Milky way"</t>
  </si>
  <si>
    <t>ვიდეო ბარათების დამზადება</t>
  </si>
  <si>
    <t>სამეგრელო-ზემო სვანეთის ბილიკების მონიშვნა</t>
  </si>
  <si>
    <t>შპს "ბრენდ მაღაზია სარაჯიშვილი"</t>
  </si>
  <si>
    <t>კონიაკის შესყიდვა</t>
  </si>
  <si>
    <t>ამხანაგობა "თუშური ფარდაგი"</t>
  </si>
  <si>
    <t>შპს "თუშეთი 2009"</t>
  </si>
  <si>
    <t>ი.მ. შორენა თაბაგარი</t>
  </si>
  <si>
    <t>ბაკურიანის საინფორმაციო ცენტრისთვის სამშენებლო სამუშაოები</t>
  </si>
  <si>
    <t>შპს "ტერმინალ ვესტ თრეიდინგი"</t>
  </si>
  <si>
    <t>დამაგრძელებლის შესყიდვა</t>
  </si>
  <si>
    <t>შპს "ედვაიზ ჯგუფი"</t>
  </si>
  <si>
    <t>ბეჭდვის მომსახურება</t>
  </si>
  <si>
    <t>შპს "სითიაუტო"</t>
  </si>
  <si>
    <t>ფ.პ. ანა უთურგაული</t>
  </si>
  <si>
    <t>Brand Bridge s.r.o.</t>
  </si>
  <si>
    <t>Headquarters Magazines Pte LTD</t>
  </si>
  <si>
    <t>06.06.2017</t>
  </si>
  <si>
    <t>CMR170113561</t>
  </si>
  <si>
    <t>CMR170115640</t>
  </si>
  <si>
    <t>CMR170116574</t>
  </si>
  <si>
    <t>07.06.2017</t>
  </si>
  <si>
    <t>CMR170114194</t>
  </si>
  <si>
    <t>CMR170113671</t>
  </si>
  <si>
    <t>CMR170113681</t>
  </si>
  <si>
    <t>CMR170113852</t>
  </si>
  <si>
    <t>CMR170116604</t>
  </si>
  <si>
    <t>08.06.2017</t>
  </si>
  <si>
    <t>CMR170116692</t>
  </si>
  <si>
    <t>CMR170113569</t>
  </si>
  <si>
    <t>CMR170113582</t>
  </si>
  <si>
    <t>CMR170113586</t>
  </si>
  <si>
    <t>CMR170113591</t>
  </si>
  <si>
    <t>CMR170113599</t>
  </si>
  <si>
    <t>CMR170113640</t>
  </si>
  <si>
    <t>09.06.2017</t>
  </si>
  <si>
    <t>CMR170114185</t>
  </si>
  <si>
    <t>CMR170114178</t>
  </si>
  <si>
    <t>CMR170114520</t>
  </si>
  <si>
    <t>CMR170117202</t>
  </si>
  <si>
    <t>CMR170117396</t>
  </si>
  <si>
    <t>12.06.2017</t>
  </si>
  <si>
    <t>CMR170119178</t>
  </si>
  <si>
    <t>14.06.2017</t>
  </si>
  <si>
    <t>CMR170119971</t>
  </si>
  <si>
    <t>CMR170117879</t>
  </si>
  <si>
    <t>CMR170119987</t>
  </si>
  <si>
    <t>CMR170120032</t>
  </si>
  <si>
    <t>CMR170120019</t>
  </si>
  <si>
    <t>CMR170120005</t>
  </si>
  <si>
    <t>CMR170120026</t>
  </si>
  <si>
    <t>CMR170119990</t>
  </si>
  <si>
    <t>CMR170118126</t>
  </si>
  <si>
    <t>CMR170117028</t>
  </si>
  <si>
    <t>CMR170120252</t>
  </si>
  <si>
    <t>CMR170120263</t>
  </si>
  <si>
    <t>15.06.2017</t>
  </si>
  <si>
    <t>CMR170118242</t>
  </si>
  <si>
    <t>CMR170118253</t>
  </si>
  <si>
    <t>CMR170118279</t>
  </si>
  <si>
    <t>CMR170119979</t>
  </si>
  <si>
    <t>CMR170120015</t>
  </si>
  <si>
    <t>16.06.2017</t>
  </si>
  <si>
    <t>CMR170120910</t>
  </si>
  <si>
    <t>CMR170120916</t>
  </si>
  <si>
    <t>CMR170120929</t>
  </si>
  <si>
    <t>CMR170119533</t>
  </si>
  <si>
    <t>CMR170116693</t>
  </si>
  <si>
    <t>CMR170121080</t>
  </si>
  <si>
    <t>CMR170121072</t>
  </si>
  <si>
    <t>CMR170120717</t>
  </si>
  <si>
    <t>19.06.2017</t>
  </si>
  <si>
    <t>CMR170121590</t>
  </si>
  <si>
    <t>საქართველოს კანონის სახელმწიფო შესყიდვების შესახებ, მე-10/1 მუხლის 3  პუნქტის "ა" ქვეპუნქტისა და სახელმწიფო შესყიდვების სააგენტოს თავმჯდომარის  2017 წლის 30 მაისის   #1576 განკარგულების საფუძველზე</t>
  </si>
  <si>
    <t>CMR170119830</t>
  </si>
  <si>
    <t>CMR170121763</t>
  </si>
  <si>
    <t>21.06.2017</t>
  </si>
  <si>
    <t>SPA170007190</t>
  </si>
  <si>
    <t>22.06.2017</t>
  </si>
  <si>
    <t>CMR170123143</t>
  </si>
  <si>
    <t>CMR170123670</t>
  </si>
  <si>
    <t>23.06.2017</t>
  </si>
  <si>
    <t>CMR170121605</t>
  </si>
  <si>
    <t>CMR170121753</t>
  </si>
  <si>
    <t>CMR170121757</t>
  </si>
  <si>
    <t>CMR170121761</t>
  </si>
  <si>
    <t>CMR170121765</t>
  </si>
  <si>
    <t>CMR170124259</t>
  </si>
  <si>
    <t>CMR170124299</t>
  </si>
  <si>
    <t>CMR170124293</t>
  </si>
  <si>
    <t>CMR170124531</t>
  </si>
  <si>
    <t>CMR170123687</t>
  </si>
  <si>
    <t>26.06.2017</t>
  </si>
  <si>
    <t>CMR170123755</t>
  </si>
  <si>
    <t>CMR170122810</t>
  </si>
  <si>
    <t>CMR170124417</t>
  </si>
  <si>
    <t>CMR170125762</t>
  </si>
  <si>
    <t>CMR170122793</t>
  </si>
  <si>
    <t>CMR170125166</t>
  </si>
  <si>
    <t>CMR170125168</t>
  </si>
  <si>
    <t>CMR170123697</t>
  </si>
  <si>
    <t>27.06.2017</t>
  </si>
  <si>
    <t>CMR170124268</t>
  </si>
  <si>
    <t>CMR170124214</t>
  </si>
  <si>
    <t>28.06.2017</t>
  </si>
  <si>
    <t>CMR170123690</t>
  </si>
  <si>
    <t>CMR170125770</t>
  </si>
  <si>
    <t>CMR170125774</t>
  </si>
  <si>
    <t>29.06.2017</t>
  </si>
  <si>
    <t>CMR170126289</t>
  </si>
  <si>
    <t>CMR170126302</t>
  </si>
  <si>
    <t>CMR170126307</t>
  </si>
  <si>
    <t>CMR170126282</t>
  </si>
  <si>
    <t>CMR170124924</t>
  </si>
  <si>
    <t>30.06.2017</t>
  </si>
  <si>
    <t>CMR170125100</t>
  </si>
  <si>
    <t>CMR170127736</t>
  </si>
  <si>
    <t>CMR170127758</t>
  </si>
  <si>
    <t>CMR170127771</t>
  </si>
  <si>
    <t>CMR170127741</t>
  </si>
  <si>
    <t>CMR170127827</t>
  </si>
  <si>
    <t>CMR170127099</t>
  </si>
  <si>
    <t>CMR170126394</t>
  </si>
  <si>
    <t>CMR170126397</t>
  </si>
  <si>
    <t>03.07.2017</t>
  </si>
  <si>
    <t>CMR170129194</t>
  </si>
  <si>
    <t>CMR170126399</t>
  </si>
  <si>
    <t>04.07.2017</t>
  </si>
  <si>
    <t>CMR170129008</t>
  </si>
  <si>
    <t>07.07.2017</t>
  </si>
  <si>
    <t>CMR170129742</t>
  </si>
  <si>
    <t>CMR170129745</t>
  </si>
  <si>
    <t>CMR170129791</t>
  </si>
  <si>
    <t>CMR170129735</t>
  </si>
  <si>
    <t>CMR170127721</t>
  </si>
  <si>
    <t>CMR170127706</t>
  </si>
  <si>
    <t>CMR170127679</t>
  </si>
  <si>
    <t>CMR170128490</t>
  </si>
  <si>
    <t>CMR170128579</t>
  </si>
  <si>
    <t>12.07.2017</t>
  </si>
  <si>
    <t>CMR170132363</t>
  </si>
  <si>
    <t>CMR170132368</t>
  </si>
  <si>
    <t>CMR170132372</t>
  </si>
  <si>
    <t>CMR170132386</t>
  </si>
  <si>
    <t>CMR170132391</t>
  </si>
  <si>
    <t>CMR170132389</t>
  </si>
  <si>
    <t>CMR170132384</t>
  </si>
  <si>
    <t>CMR170133670</t>
  </si>
  <si>
    <t>CMR170131154</t>
  </si>
  <si>
    <t>13.07.2017</t>
  </si>
  <si>
    <t>CMR170131972</t>
  </si>
  <si>
    <t>CMR170132088</t>
  </si>
  <si>
    <t>CMR170132043</t>
  </si>
  <si>
    <t>CMR170131981</t>
  </si>
  <si>
    <t>CMR170131983</t>
  </si>
  <si>
    <t>CMR170129790</t>
  </si>
  <si>
    <t>CMR170130444</t>
  </si>
  <si>
    <t>CMR170133684</t>
  </si>
  <si>
    <t>CMR170133680</t>
  </si>
  <si>
    <t>14.07.2017</t>
  </si>
  <si>
    <t>CMR170131956</t>
  </si>
  <si>
    <t>CMR170132320</t>
  </si>
  <si>
    <t>CMR170131935</t>
  </si>
  <si>
    <t>CMR170131922</t>
  </si>
  <si>
    <t>CMR170131951</t>
  </si>
  <si>
    <t>17.07.2017</t>
  </si>
  <si>
    <t>CMR170132885</t>
  </si>
  <si>
    <t>CMR170134569</t>
  </si>
  <si>
    <t>CMR170134141</t>
  </si>
  <si>
    <t>18.07.2017</t>
  </si>
  <si>
    <t>CMR170136242</t>
  </si>
  <si>
    <t>CMR170136244</t>
  </si>
  <si>
    <t>CMR170136250</t>
  </si>
  <si>
    <t>CMR170136760</t>
  </si>
  <si>
    <t>CMR170136820</t>
  </si>
  <si>
    <t>19.07.2017</t>
  </si>
  <si>
    <t>SPA170008614</t>
  </si>
  <si>
    <t>CMR170136844</t>
  </si>
  <si>
    <t>CMR170133232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</si>
  <si>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2 ივნისის  #1093 განკარგულების საფუძველზე (SMP170001338)</t>
  </si>
  <si>
    <t>CMR170134457</t>
  </si>
  <si>
    <t>20.07.2017</t>
  </si>
  <si>
    <t>SPA170008194</t>
  </si>
  <si>
    <t>SPA170009070</t>
  </si>
  <si>
    <t>SPA170009068</t>
  </si>
  <si>
    <t>CMR170136549</t>
  </si>
  <si>
    <t>21.07.2017</t>
  </si>
  <si>
    <t>CMR170140311</t>
  </si>
  <si>
    <t>CMR170137110</t>
  </si>
  <si>
    <t>CMR170137520</t>
  </si>
  <si>
    <t>CMR170137115</t>
  </si>
  <si>
    <t>CMR170140290</t>
  </si>
  <si>
    <t>CMR170137554</t>
  </si>
  <si>
    <t>CMR170137552</t>
  </si>
  <si>
    <t>24.07.2017</t>
  </si>
  <si>
    <t>CMR170137535</t>
  </si>
  <si>
    <t>CMR170137546</t>
  </si>
  <si>
    <t>CMR170139112</t>
  </si>
  <si>
    <t>27.07.2017</t>
  </si>
  <si>
    <t>CMR170136774</t>
  </si>
  <si>
    <t>CMR170138498</t>
  </si>
  <si>
    <t>CMR170137032</t>
  </si>
  <si>
    <t>CMR170137700</t>
  </si>
  <si>
    <t>28.07.2017</t>
  </si>
  <si>
    <t>CMR170138124</t>
  </si>
  <si>
    <t>CMR170137155</t>
  </si>
  <si>
    <t>CMR170139620</t>
  </si>
  <si>
    <t>31.07.2017</t>
  </si>
  <si>
    <t>CMR170141099</t>
  </si>
  <si>
    <t>CMR170141102</t>
  </si>
  <si>
    <t>01.08.2017</t>
  </si>
  <si>
    <t>CMR170139362</t>
  </si>
  <si>
    <t>CMR170141284</t>
  </si>
  <si>
    <t>SPA170009450</t>
  </si>
  <si>
    <t>CMR170138657</t>
  </si>
  <si>
    <t>02.08.2017</t>
  </si>
  <si>
    <t>SPA170008136</t>
  </si>
  <si>
    <t>03.08.2017</t>
  </si>
  <si>
    <t>გ.შ,</t>
  </si>
  <si>
    <t>CMR170139187</t>
  </si>
  <si>
    <t>CMR170141605</t>
  </si>
  <si>
    <t>CMR170142122</t>
  </si>
  <si>
    <t>CMR170141598</t>
  </si>
  <si>
    <t>CMR170142152</t>
  </si>
  <si>
    <t>CMR170141613</t>
  </si>
  <si>
    <t>SPA170009789</t>
  </si>
  <si>
    <t>CMR170142144</t>
  </si>
  <si>
    <t>04.08.2017</t>
  </si>
  <si>
    <t>CMR170139649</t>
  </si>
  <si>
    <t>CMR170140262</t>
  </si>
  <si>
    <t>CMR170140255</t>
  </si>
  <si>
    <t>07.08.2017</t>
  </si>
  <si>
    <t>გ,შ.</t>
  </si>
  <si>
    <t>08.08.2017</t>
  </si>
  <si>
    <t>CMR170141543</t>
  </si>
  <si>
    <t>11.08.2017</t>
  </si>
  <si>
    <t>100.00 </t>
  </si>
  <si>
    <t>3`470.00</t>
  </si>
  <si>
    <t>4`530.00</t>
  </si>
  <si>
    <t>CMR170113293</t>
  </si>
  <si>
    <t>2`250.00 </t>
  </si>
  <si>
    <t>CMR170113287</t>
  </si>
  <si>
    <t>CMR170113311</t>
  </si>
  <si>
    <t>CMR170113745</t>
  </si>
  <si>
    <t>1`370.00</t>
  </si>
  <si>
    <t>2`731.23 </t>
  </si>
  <si>
    <t>CMR170110895</t>
  </si>
  <si>
    <t>CMR170113875</t>
  </si>
  <si>
    <t>387.20 </t>
  </si>
  <si>
    <t>375.00 </t>
  </si>
  <si>
    <t>1`530.00</t>
  </si>
  <si>
    <t>1`900.00 </t>
  </si>
  <si>
    <t>CMR170110031</t>
  </si>
  <si>
    <t>CMR170112094</t>
  </si>
  <si>
    <t>1`787.00</t>
  </si>
  <si>
    <t>CMR170110705</t>
  </si>
  <si>
    <t>10`384.00</t>
  </si>
  <si>
    <t>2`523.75 </t>
  </si>
  <si>
    <t>1`390.00 </t>
  </si>
  <si>
    <t>11`100.46</t>
  </si>
  <si>
    <t>187.50 </t>
  </si>
  <si>
    <t>1`181.40 </t>
  </si>
  <si>
    <t>279.00 </t>
  </si>
  <si>
    <t>7`469.10</t>
  </si>
  <si>
    <t>80.00 </t>
  </si>
  <si>
    <t>290.40 </t>
  </si>
  <si>
    <t>6`590.70 </t>
  </si>
  <si>
    <t>9`810.57</t>
  </si>
  <si>
    <t>520.00 </t>
  </si>
  <si>
    <t>602.00 </t>
  </si>
  <si>
    <t>4`750.00</t>
  </si>
  <si>
    <t>2`137.50</t>
  </si>
  <si>
    <t>1`152.00</t>
  </si>
  <si>
    <t>360.00 </t>
  </si>
  <si>
    <t>2`458.81 </t>
  </si>
  <si>
    <t>925.00 </t>
  </si>
  <si>
    <t>14`975.00</t>
  </si>
  <si>
    <t>7`139.00</t>
  </si>
  <si>
    <t>1`520.23</t>
  </si>
  <si>
    <t>35`858.27</t>
  </si>
  <si>
    <t>990.00 </t>
  </si>
  <si>
    <t>18.50 </t>
  </si>
  <si>
    <t>8`800.00</t>
  </si>
  <si>
    <t>7`276.00 </t>
  </si>
  <si>
    <t>336.71 </t>
  </si>
  <si>
    <t>97.45 </t>
  </si>
  <si>
    <t>1`540.80 </t>
  </si>
  <si>
    <t xml:space="preserve">1`540.80 </t>
  </si>
  <si>
    <t>2`350.00</t>
  </si>
  <si>
    <t>4`050.00 </t>
  </si>
  <si>
    <t>1`116.55</t>
  </si>
  <si>
    <t>2`331.68</t>
  </si>
  <si>
    <t>2`082.50</t>
  </si>
  <si>
    <t>2`060.00</t>
  </si>
  <si>
    <t>700.00 </t>
  </si>
  <si>
    <t>76.45 </t>
  </si>
  <si>
    <t>61`242.00</t>
  </si>
  <si>
    <t>2`211.60</t>
  </si>
  <si>
    <t>6`825.00</t>
  </si>
  <si>
    <t>63`000.00</t>
  </si>
  <si>
    <t>3`562.50 </t>
  </si>
  <si>
    <t>3`937.50 </t>
  </si>
  <si>
    <t>2`243.75 </t>
  </si>
  <si>
    <t>2`550.00</t>
  </si>
  <si>
    <t>1`680.00 </t>
  </si>
  <si>
    <t>2`920.00</t>
  </si>
  <si>
    <t>1`800.00 </t>
  </si>
  <si>
    <t>1`562.50 </t>
  </si>
  <si>
    <t>71.00 </t>
  </si>
  <si>
    <t>12`280.00</t>
  </si>
  <si>
    <t>3`830.00 </t>
  </si>
  <si>
    <t>4`800.00 </t>
  </si>
  <si>
    <t>83.05 </t>
  </si>
  <si>
    <t>61.50 </t>
  </si>
  <si>
    <t>118.80 </t>
  </si>
  <si>
    <t>2`500.00</t>
  </si>
  <si>
    <t>1`698.00 </t>
  </si>
  <si>
    <t>4`369.47</t>
  </si>
  <si>
    <t>CMR170137097</t>
  </si>
  <si>
    <t>1`247.40 </t>
  </si>
  <si>
    <t>2`100.00</t>
  </si>
  <si>
    <t>205.85 </t>
  </si>
  <si>
    <t>4`115.00</t>
  </si>
  <si>
    <t>340.00 </t>
  </si>
  <si>
    <t>1`008.63</t>
  </si>
  <si>
    <t>690.00 </t>
  </si>
  <si>
    <t>3`600.00 </t>
  </si>
  <si>
    <t>2`587.00 </t>
  </si>
  <si>
    <t>1`855.70 </t>
  </si>
  <si>
    <t>100.80 </t>
  </si>
  <si>
    <t>273.69 </t>
  </si>
  <si>
    <t>7`600.00</t>
  </si>
  <si>
    <t>4`000.00 </t>
  </si>
  <si>
    <t>203.85 </t>
  </si>
  <si>
    <t>1`400.00 </t>
  </si>
  <si>
    <t>611.55 </t>
  </si>
  <si>
    <t>1`287.00</t>
  </si>
  <si>
    <t>152.00 </t>
  </si>
  <si>
    <t>2`583.00</t>
  </si>
  <si>
    <t>CMR170142555</t>
  </si>
  <si>
    <t>2`537.00</t>
  </si>
  <si>
    <t>138.60 </t>
  </si>
  <si>
    <t>3`324.00 </t>
  </si>
  <si>
    <t>მე-3 კლასის მაღალი გამავლობის მსუბუქი ავტომობილის ტექნიკური მომსახურება</t>
  </si>
  <si>
    <t>CMR160053737</t>
  </si>
  <si>
    <t>CMR170143436</t>
  </si>
  <si>
    <t>8`930.30</t>
  </si>
  <si>
    <t>CMR170144164</t>
  </si>
  <si>
    <t>CMR170144424</t>
  </si>
  <si>
    <t>CMR170144620</t>
  </si>
  <si>
    <t>CMR170143354</t>
  </si>
  <si>
    <t>შპს "ტურინვესტი"</t>
  </si>
  <si>
    <t>CMR170143200</t>
  </si>
  <si>
    <t>CMR170144519</t>
  </si>
  <si>
    <t>CMR170144528</t>
  </si>
  <si>
    <t>CMR170144465</t>
  </si>
  <si>
    <t>CMR170144459</t>
  </si>
  <si>
    <t>CMR170144439</t>
  </si>
  <si>
    <t>CMR170144476</t>
  </si>
  <si>
    <t>199.10 </t>
  </si>
  <si>
    <t>1`450.00</t>
  </si>
  <si>
    <t>1`535.70 </t>
  </si>
  <si>
    <t>2`317.50</t>
  </si>
  <si>
    <t>800.00 </t>
  </si>
  <si>
    <t>590.00 </t>
  </si>
  <si>
    <t>245.50 </t>
  </si>
  <si>
    <t>ი.მ. გიორგი ოდილავაძე</t>
  </si>
  <si>
    <t>შპს "ვანილა ივენთს"</t>
  </si>
  <si>
    <t>საერთო მენეჯმენტთან დაკავშირებული საკონსულტაციო მომსახურება</t>
  </si>
  <si>
    <t>შპს "პორტო ფრანკო"</t>
  </si>
  <si>
    <t>შპს "ბულვარის კარიბჭე"</t>
  </si>
  <si>
    <t>შპს "PIAZZA MANAGEMENT"</t>
  </si>
  <si>
    <t>შპს რეზონი</t>
  </si>
  <si>
    <t>შპს "ავაიაქსელი"</t>
  </si>
  <si>
    <t>შპს "მირაჟი"</t>
  </si>
  <si>
    <t>შპს ტოპ გრუპი</t>
  </si>
  <si>
    <t>ანტიფრიზი</t>
  </si>
  <si>
    <t>ევაკუატორის მომსახურება</t>
  </si>
  <si>
    <t>ავტომობილის ტექნიკური მომსახურება</t>
  </si>
  <si>
    <t>გრაფიკული ანიმაცია</t>
  </si>
  <si>
    <t>სასურათე ჩარჩოები</t>
  </si>
  <si>
    <t>ამხანაგობა "საოჯახო სასტუმრო კორშა+"</t>
  </si>
  <si>
    <t>ი.მ. ნანა გოგოჭური</t>
  </si>
  <si>
    <t>ფ.პ. ცისმარი ქშუტაშვილი</t>
  </si>
  <si>
    <t>შპს "ბაბანეურის მარანი"</t>
  </si>
  <si>
    <t>შპს "ბულაჩაური"</t>
  </si>
  <si>
    <t>ი.მ. ელგუჯა გოდერძიშვილი</t>
  </si>
  <si>
    <t>შპს "სასტუმრო ივერია ინ"</t>
  </si>
  <si>
    <t xml:space="preserve">  სასტუმრო მომსახურება</t>
  </si>
  <si>
    <t>შპს "H&amp;N Wine Japan Co,. Ltd"</t>
  </si>
  <si>
    <t>ღვინის შესყიდვა</t>
  </si>
  <si>
    <t>შპს "ციტრუსი"</t>
  </si>
  <si>
    <t>შპს "ტენტ ლუქსი"</t>
  </si>
  <si>
    <t>გარე ბანერები და წარწერები</t>
  </si>
  <si>
    <t>LLC "Euronews"</t>
  </si>
  <si>
    <t>JSTAR Management Solution Co., Ltd</t>
  </si>
  <si>
    <t>სტენდის მშენებლობა იაპონიის გამოფენაზე</t>
  </si>
  <si>
    <t>ი.მ. მაიკო ქავთარაძე</t>
  </si>
  <si>
    <t>განცხადების გამოქვეყნების საფასური</t>
  </si>
  <si>
    <t>ფოტოები</t>
  </si>
  <si>
    <t>14.08.2017</t>
  </si>
  <si>
    <t>CMR170146673</t>
  </si>
  <si>
    <t>CMR170146649</t>
  </si>
  <si>
    <t>CMR170145923</t>
  </si>
  <si>
    <t>CMR170145920</t>
  </si>
  <si>
    <t>CMR170146661</t>
  </si>
  <si>
    <t>15.08.2017</t>
  </si>
  <si>
    <t>CMR170146017</t>
  </si>
  <si>
    <t>CMR170143913</t>
  </si>
  <si>
    <t>16.08.2017</t>
  </si>
  <si>
    <t>CMR170145339</t>
  </si>
  <si>
    <t>17.08.2017</t>
  </si>
  <si>
    <t>CMR170147387</t>
  </si>
  <si>
    <t>18.08.2017</t>
  </si>
  <si>
    <t>CMR170147114</t>
  </si>
  <si>
    <t>CMR170147118</t>
  </si>
  <si>
    <t>CMR170146201</t>
  </si>
  <si>
    <t>CMR170147125</t>
  </si>
  <si>
    <t>CMR170147130</t>
  </si>
  <si>
    <t>CMR170147134</t>
  </si>
  <si>
    <t>CMR170147144</t>
  </si>
  <si>
    <t>CMR170147150</t>
  </si>
  <si>
    <t>CMR170146070</t>
  </si>
  <si>
    <t>CMR170146723</t>
  </si>
  <si>
    <t>21.08.2017</t>
  </si>
  <si>
    <t>SPA170009951</t>
  </si>
  <si>
    <t>24.08.2017</t>
  </si>
  <si>
    <t>CMR170147904</t>
  </si>
  <si>
    <t>25.08.2017</t>
  </si>
  <si>
    <t>CMR170147897</t>
  </si>
  <si>
    <t>CMR170147892</t>
  </si>
  <si>
    <t>CMR170147887</t>
  </si>
  <si>
    <t>CMR170148801</t>
  </si>
  <si>
    <t>CMR170148791</t>
  </si>
  <si>
    <t>CMR170148790</t>
  </si>
  <si>
    <t>CMR170149815</t>
  </si>
  <si>
    <t>CMR170148673</t>
  </si>
  <si>
    <t>CMR170148660</t>
  </si>
  <si>
    <t>29.08.2017</t>
  </si>
  <si>
    <t>CMR170149613</t>
  </si>
  <si>
    <t>CMR170150012</t>
  </si>
  <si>
    <t>31.08.2017</t>
  </si>
  <si>
    <t>SPA170009757</t>
  </si>
  <si>
    <t>01.09.2017</t>
  </si>
  <si>
    <t>CMR170149733</t>
  </si>
  <si>
    <t>CMR170149934</t>
  </si>
  <si>
    <t>CMR170149940</t>
  </si>
  <si>
    <t>CMR170149948</t>
  </si>
  <si>
    <t>CMR170152266</t>
  </si>
  <si>
    <t>CMR170152771</t>
  </si>
  <si>
    <t>CMR170152281</t>
  </si>
  <si>
    <t>CMR170152312</t>
  </si>
  <si>
    <t>CMR170152303</t>
  </si>
  <si>
    <t>CMR170153173</t>
  </si>
  <si>
    <t>CMR170152778</t>
  </si>
  <si>
    <t>CMR170152295</t>
  </si>
  <si>
    <t>CMR170153110</t>
  </si>
  <si>
    <t>CMR170153169</t>
  </si>
  <si>
    <t>CMR170153089</t>
  </si>
  <si>
    <t>CMR170153073</t>
  </si>
  <si>
    <t>CMR170153177</t>
  </si>
  <si>
    <t>CMR170150294</t>
  </si>
  <si>
    <t>CMR170153204</t>
  </si>
  <si>
    <t>CMR170152181</t>
  </si>
  <si>
    <t>CMR170153053</t>
  </si>
  <si>
    <t>CMR170153009</t>
  </si>
  <si>
    <t>CMR170152963</t>
  </si>
  <si>
    <t>CMR170152980</t>
  </si>
  <si>
    <t>CMR170152989</t>
  </si>
  <si>
    <t>CMR170152997</t>
  </si>
  <si>
    <t>04.09.2017</t>
  </si>
  <si>
    <t>CMR170153137</t>
  </si>
  <si>
    <t>CMR170153178</t>
  </si>
  <si>
    <t>CMR170151490</t>
  </si>
  <si>
    <t>CMR170153160</t>
  </si>
  <si>
    <t>CMR170153084</t>
  </si>
  <si>
    <t>05.09.2017</t>
  </si>
  <si>
    <t>CMR170151452</t>
  </si>
  <si>
    <t>07.09.2017</t>
  </si>
  <si>
    <t>08.09.2017</t>
  </si>
  <si>
    <t>8`151.51</t>
  </si>
  <si>
    <t>550.03 </t>
  </si>
  <si>
    <t>2`145.00 </t>
  </si>
  <si>
    <t>17`696.00</t>
  </si>
  <si>
    <t>2`700.00</t>
  </si>
  <si>
    <t>1`900.00</t>
  </si>
  <si>
    <t>2`187.50</t>
  </si>
  <si>
    <t>2`946.00</t>
  </si>
  <si>
    <t>5`500.00</t>
  </si>
  <si>
    <t>4`549.80</t>
  </si>
  <si>
    <t>4`609.40</t>
  </si>
  <si>
    <t>640.00 </t>
  </si>
  <si>
    <t>1`341.00 </t>
  </si>
  <si>
    <t>CMR170142919</t>
  </si>
  <si>
    <t>83.00 </t>
  </si>
  <si>
    <t>180.00 </t>
  </si>
  <si>
    <t>119.90 </t>
  </si>
  <si>
    <t>1`099.39</t>
  </si>
  <si>
    <t>2`399.00</t>
  </si>
  <si>
    <t>3`369.90</t>
  </si>
  <si>
    <t>შპს "ბულაჩაური 2017</t>
  </si>
  <si>
    <t>22`780.00</t>
  </si>
  <si>
    <t>9`300.00 </t>
  </si>
  <si>
    <t>3`100.00</t>
  </si>
  <si>
    <t>13`400.00 </t>
  </si>
  <si>
    <t>8`260.00</t>
  </si>
  <si>
    <t>2`512.00</t>
  </si>
  <si>
    <t>2`805.00</t>
  </si>
  <si>
    <t>2`155.00</t>
  </si>
  <si>
    <t>1`630.00</t>
  </si>
  <si>
    <t>CMR170153407</t>
  </si>
  <si>
    <t>CMR170153411</t>
  </si>
  <si>
    <t>CMR170154759</t>
  </si>
  <si>
    <t>1`330.00</t>
  </si>
  <si>
    <t>ი.მ. ბეჟან სებისკვერაძე</t>
  </si>
  <si>
    <t>CMR170153673</t>
  </si>
  <si>
    <t>CMR170154520</t>
  </si>
  <si>
    <t>CMR170153654</t>
  </si>
  <si>
    <t>CMR170153994</t>
  </si>
  <si>
    <t>CMR170153976</t>
  </si>
  <si>
    <t>CMR170154227</t>
  </si>
  <si>
    <t>CMR170154264</t>
  </si>
  <si>
    <t>CMR170154473</t>
  </si>
  <si>
    <t>CMR170153939</t>
  </si>
  <si>
    <t>CMR170156517</t>
  </si>
  <si>
    <t>CMR170153543</t>
  </si>
  <si>
    <t>CMR170154678</t>
  </si>
  <si>
    <t>CMR170152705</t>
  </si>
  <si>
    <t>CMR170153959</t>
  </si>
  <si>
    <t>1`100.00</t>
  </si>
  <si>
    <t>4`150.00</t>
  </si>
  <si>
    <t>2`234.65 </t>
  </si>
  <si>
    <t>790.00 </t>
  </si>
  <si>
    <t>1`700.00 </t>
  </si>
  <si>
    <t>1`173.00</t>
  </si>
  <si>
    <t>1`598.85</t>
  </si>
  <si>
    <t>4`580.00 </t>
  </si>
  <si>
    <t>1`840.00 </t>
  </si>
  <si>
    <t>1`200.00 </t>
  </si>
  <si>
    <t>8`347.98</t>
  </si>
  <si>
    <t>10`350.00</t>
  </si>
  <si>
    <t>3`375.00</t>
  </si>
  <si>
    <t>შპს "Discovery"</t>
  </si>
  <si>
    <t>შპს "ევროექსპო სტენდი"</t>
  </si>
  <si>
    <t>სტენდის მშენებლობა რუსეთის გამოფენაზე</t>
  </si>
  <si>
    <t>შპს "დ-გრუპი"</t>
  </si>
  <si>
    <t>ააიპ "ტრენინგების საერთაშორისო ცენტრი"</t>
  </si>
  <si>
    <t>ი.მ. ბელა კუპრავა</t>
  </si>
  <si>
    <t>შპს "ტეგეტა მოტორსი"</t>
  </si>
  <si>
    <t>11.09.2017</t>
  </si>
  <si>
    <t>CMR170154029</t>
  </si>
  <si>
    <t>15.09.2017</t>
  </si>
  <si>
    <t>CMR170158381</t>
  </si>
  <si>
    <t>CMR170158217</t>
  </si>
  <si>
    <t>CMR170158215</t>
  </si>
  <si>
    <t>19.09.2017</t>
  </si>
  <si>
    <t>20.09.2017</t>
  </si>
  <si>
    <t>CMR170160537</t>
  </si>
  <si>
    <t>37.00 </t>
  </si>
  <si>
    <t>ი.მ. გიორგი თამარაშვილი</t>
  </si>
  <si>
    <t>გეოლოგიის დასკვნა და ტოპო გეგმა</t>
  </si>
  <si>
    <t>ი.მ. ლევან ცინცქალაძე</t>
  </si>
  <si>
    <t>შპს "ამერი პლაზა ჰორეკა ჯგუფი"</t>
  </si>
  <si>
    <t>ფ.პ. ამირან ჩიღოშვილი</t>
  </si>
  <si>
    <t>შპს "lmc"</t>
  </si>
  <si>
    <t>ღვინის გზის პროექტი - მარნები</t>
  </si>
  <si>
    <t>შპს "სალვე"</t>
  </si>
  <si>
    <t>პანკისობის ღონისძიების ორგანიზება</t>
  </si>
  <si>
    <t>შპს "კულინარტი"</t>
  </si>
  <si>
    <t>შპს "ჯორჯიან ინ"</t>
  </si>
  <si>
    <t>ამხანაგობა "კულინარიუმ ქუქინგ სქუულ"</t>
  </si>
  <si>
    <t>ი.მ. თამარა ნინიძე</t>
  </si>
  <si>
    <t>შპს "ბი.ეფ.ჯი."</t>
  </si>
  <si>
    <t>ი.მ. ვლადიმერ სამხარაძე</t>
  </si>
  <si>
    <t>.შპს "ნივადა გრუპი"</t>
  </si>
  <si>
    <t>ცეცხლმაქრების შესყიდვა</t>
  </si>
  <si>
    <t>21.09.2017</t>
  </si>
  <si>
    <t>SPA170011133</t>
  </si>
  <si>
    <t>22.09.2017</t>
  </si>
  <si>
    <t>CMR170160524</t>
  </si>
  <si>
    <t>CMR170160682</t>
  </si>
  <si>
    <t>25.09.2017</t>
  </si>
  <si>
    <t>CMR170163681</t>
  </si>
  <si>
    <t>CMR170163122</t>
  </si>
  <si>
    <t>26.09.2017</t>
  </si>
  <si>
    <t>SPA170011152</t>
  </si>
  <si>
    <t>27.09.2017</t>
  </si>
  <si>
    <t>SPA170010915</t>
  </si>
  <si>
    <t>28.09.2017</t>
  </si>
  <si>
    <t>29.09.2017</t>
  </si>
  <si>
    <t>CMR170154985</t>
  </si>
  <si>
    <t>CMR170154987</t>
  </si>
  <si>
    <t>CMR170154981</t>
  </si>
  <si>
    <t>240.00 </t>
  </si>
  <si>
    <t>2`838.00 </t>
  </si>
  <si>
    <t>CMR170153756</t>
  </si>
  <si>
    <t>3`072.72</t>
  </si>
  <si>
    <t>CMR170161705</t>
  </si>
  <si>
    <t>CMR170162939</t>
  </si>
  <si>
    <t>CMR170161293</t>
  </si>
  <si>
    <t>CMR170162359</t>
  </si>
  <si>
    <t>CMR170161630</t>
  </si>
  <si>
    <t>CMR170161672</t>
  </si>
  <si>
    <t>CMR170161678</t>
  </si>
  <si>
    <t>CMR170161686</t>
  </si>
  <si>
    <t>CMR170161585</t>
  </si>
  <si>
    <t>280.00 </t>
  </si>
  <si>
    <t>46`169.13</t>
  </si>
  <si>
    <t>5`400.00 </t>
  </si>
  <si>
    <t>CMR170162850</t>
  </si>
  <si>
    <t>2`925.00</t>
  </si>
  <si>
    <t>2`724.04 </t>
  </si>
  <si>
    <t>26`897.86 </t>
  </si>
  <si>
    <t>CMR170164296</t>
  </si>
  <si>
    <t>1`325.00</t>
  </si>
  <si>
    <t>91`880.16</t>
  </si>
  <si>
    <t>CMR170165401</t>
  </si>
  <si>
    <t>CMR170164668</t>
  </si>
  <si>
    <t>CMR170164138</t>
  </si>
  <si>
    <t>CMR170164303</t>
  </si>
  <si>
    <t>CMR170164318</t>
  </si>
  <si>
    <t>CMR170166632</t>
  </si>
  <si>
    <t>CMR170165590</t>
  </si>
  <si>
    <t>CMR170166687</t>
  </si>
  <si>
    <t>CMR170166701</t>
  </si>
  <si>
    <t>CMR170166710</t>
  </si>
  <si>
    <t>CMR170164334</t>
  </si>
  <si>
    <t>CMR170167667</t>
  </si>
  <si>
    <t>CMR170167608</t>
  </si>
  <si>
    <t>CMR170167632</t>
  </si>
  <si>
    <t>CMR170167653</t>
  </si>
  <si>
    <t>CMR170167652</t>
  </si>
  <si>
    <t>CMR170167645</t>
  </si>
  <si>
    <t>CMR170167763</t>
  </si>
  <si>
    <t>CMR170167649</t>
  </si>
  <si>
    <t>CMR170167619</t>
  </si>
  <si>
    <t>CMR170167636</t>
  </si>
  <si>
    <t>CMR170167640</t>
  </si>
  <si>
    <t>CMR170164354</t>
  </si>
  <si>
    <t>CMR170164403</t>
  </si>
  <si>
    <t>CMR170164398</t>
  </si>
  <si>
    <t>CMR170164359</t>
  </si>
  <si>
    <t>CMR170164701</t>
  </si>
  <si>
    <t>CMR170167660</t>
  </si>
  <si>
    <t>CMR170165199</t>
  </si>
  <si>
    <t>CMR170166715</t>
  </si>
  <si>
    <t>CMR170166725</t>
  </si>
  <si>
    <t>CMR170164882</t>
  </si>
  <si>
    <t>CMR170166197</t>
  </si>
  <si>
    <t>CMR170166176</t>
  </si>
  <si>
    <t>CMR170168936</t>
  </si>
  <si>
    <t>CMR170168941</t>
  </si>
  <si>
    <t>CMR170168949</t>
  </si>
  <si>
    <t>CMR170168337</t>
  </si>
  <si>
    <t>CMR170168340</t>
  </si>
  <si>
    <t>CMR170170025</t>
  </si>
  <si>
    <t>CMR170168341</t>
  </si>
  <si>
    <t>CMR170168752</t>
  </si>
  <si>
    <t>CMR170167793</t>
  </si>
  <si>
    <t>CMR170168254</t>
  </si>
  <si>
    <t>CMR170169436</t>
  </si>
  <si>
    <t>CMR170170059</t>
  </si>
  <si>
    <t>შპს"ესთიაი ჯორჯია"</t>
  </si>
  <si>
    <t>შპს "EDB UK ltd"</t>
  </si>
  <si>
    <t>სტენდის მშენებლობა ლონდონის გამოფენაზე</t>
  </si>
  <si>
    <t>ბეჭდვა</t>
  </si>
  <si>
    <t>შპს "იდეა"</t>
  </si>
  <si>
    <t>კარტრიჯების შესყიდვა</t>
  </si>
  <si>
    <t>შპს "ტრაფიკ თრაველი"</t>
  </si>
  <si>
    <t>შპს "ვოლდფაუნდ უნივერსალი"</t>
  </si>
  <si>
    <t>შპს "Funday entertainment"</t>
  </si>
  <si>
    <t>ღონისძიების ორგანიზება თიანეთობა</t>
  </si>
  <si>
    <t>ი.მ. გოგი მარგველაძე</t>
  </si>
  <si>
    <t>ი.მ. მერაბ ჯანელიძე</t>
  </si>
  <si>
    <t>ფ.პ. ტარიელ თომაძე</t>
  </si>
  <si>
    <t>შპს "italian exhibition group s.p.a."</t>
  </si>
  <si>
    <t>იტალიის სტენდის მშენებლობა</t>
  </si>
  <si>
    <t>შპს "სითი პარკი"</t>
  </si>
  <si>
    <t>პარკირების საფასური</t>
  </si>
  <si>
    <t>შპს "ეზო"</t>
  </si>
  <si>
    <t>შპს "ჯორჯია ინ"</t>
  </si>
  <si>
    <t>ონლაინ სარეკლამო კამპანია - უკრაინა, სომხეთი, აზერბაიჯანი</t>
  </si>
  <si>
    <t>ფ.პ. ელენა შენგელია</t>
  </si>
  <si>
    <t>შპს "გერმანული წისქვილი"</t>
  </si>
  <si>
    <t>ი.მ. ლევან ცაგურია</t>
  </si>
  <si>
    <t>02.10.2017</t>
  </si>
  <si>
    <t>03.10.2017</t>
  </si>
  <si>
    <t>SPA170011127</t>
  </si>
  <si>
    <t>04.10.2017</t>
  </si>
  <si>
    <t>SPA170011952</t>
  </si>
  <si>
    <t>05.10.2017</t>
  </si>
  <si>
    <t>06.10.2017</t>
  </si>
  <si>
    <t>09.10.2017</t>
  </si>
  <si>
    <t>10.10.2017</t>
  </si>
  <si>
    <t>31.12.2018</t>
  </si>
  <si>
    <t>12.10.2017</t>
  </si>
  <si>
    <t>15.01.2018</t>
  </si>
  <si>
    <t>13.10.2017</t>
  </si>
  <si>
    <t>547.00 </t>
  </si>
  <si>
    <t>429.50 </t>
  </si>
  <si>
    <t>1`033.50</t>
  </si>
  <si>
    <t>1`197.00 </t>
  </si>
  <si>
    <t>CMR170162116</t>
  </si>
  <si>
    <t>CMR170161572</t>
  </si>
  <si>
    <t>266.00 </t>
  </si>
  <si>
    <t>1`215.40 </t>
  </si>
  <si>
    <t>1`600.00 </t>
  </si>
  <si>
    <t>შპს სახანძრო სიგნალიზაცია ნაპერწკალი</t>
  </si>
  <si>
    <t>6`171.00 </t>
  </si>
  <si>
    <t>3`400.00</t>
  </si>
  <si>
    <t>8`499.00</t>
  </si>
  <si>
    <t>2`651.00 </t>
  </si>
  <si>
    <t>220.00 </t>
  </si>
  <si>
    <t>3`500.00 </t>
  </si>
  <si>
    <t>2`850.00 </t>
  </si>
  <si>
    <t>1`144.00 </t>
  </si>
  <si>
    <t>CMR170153533</t>
  </si>
  <si>
    <t>1`199.88</t>
  </si>
  <si>
    <t>1`330.00 </t>
  </si>
  <si>
    <t>2`479.98</t>
  </si>
  <si>
    <t>CMR170170678</t>
  </si>
  <si>
    <t>CMR170172459</t>
  </si>
  <si>
    <t>1`550.00 </t>
  </si>
  <si>
    <t xml:space="preserve">1`550.00 </t>
  </si>
  <si>
    <t>სარეკლამო კამპანია - რუსეთი, ბელორუსია, ყაზახეთი</t>
  </si>
  <si>
    <t>სარეკლამო კამპანია - გერმანია, იტალია, დიდი ბრიტანეთი, ისრაელი, ლატვია, ლიტვა, ესტონეთი, პოლონეთი, საემიროები, საუდის არაბეთი, ქუვეითი, ბაჰრეინი, თურქეთი</t>
  </si>
  <si>
    <t>ფ.პ. ზაზა ჭითანავა</t>
  </si>
  <si>
    <t>ანტიფრიზის შესყიდვა</t>
  </si>
  <si>
    <t>შპს "მაკრო ტურიზმი"</t>
  </si>
  <si>
    <t>LTD "CORDOVA"</t>
  </si>
  <si>
    <t xml:space="preserve">პოლონეთის გამოფენაზე სტენდის მშენებლობა </t>
  </si>
  <si>
    <t>კლიპის გახმოვანება</t>
  </si>
  <si>
    <t>ფ.პ. თეიმურაზ ხუციშვილი</t>
  </si>
  <si>
    <t>კონდინციონერის შეკეთება</t>
  </si>
  <si>
    <t>შპს "ესენ ჯორჯია"</t>
  </si>
  <si>
    <t>საჰაერო რეკლამა ევროვიზიის ფარგლებში</t>
  </si>
  <si>
    <t>შპს "პროესკო"</t>
  </si>
  <si>
    <t>ევროვიზიის ღონისძიოების ფარგლებში ბეჭდვის მომსახურება</t>
  </si>
  <si>
    <t>ევროვიზიის ღონისძიოების ფარგლებში საჩუქრების შესყიდვა</t>
  </si>
  <si>
    <t>CMR170173312</t>
  </si>
  <si>
    <t>CMR170170637</t>
  </si>
  <si>
    <t>CMR170172489</t>
  </si>
  <si>
    <t>CMR170172479</t>
  </si>
  <si>
    <t>16.10.2017</t>
  </si>
  <si>
    <t>CMR170171878</t>
  </si>
  <si>
    <t>CMR170174418</t>
  </si>
  <si>
    <t>17.10.2017</t>
  </si>
  <si>
    <t>18.10.2017</t>
  </si>
  <si>
    <t>19.10.2017</t>
  </si>
  <si>
    <t>25.01.2018</t>
  </si>
  <si>
    <t>CMR170174239</t>
  </si>
  <si>
    <t>CMR170174253</t>
  </si>
  <si>
    <t>45.00 </t>
  </si>
  <si>
    <t>CMR170171698</t>
  </si>
  <si>
    <t>ი.მ. ილია ლეკიშვილი</t>
  </si>
  <si>
    <t>შპს "EDT" srl</t>
  </si>
  <si>
    <t>პრეზენტაციის ორგანიზება იტალიაში</t>
  </si>
  <si>
    <t>შპს "ბრუდერშაფტი"</t>
  </si>
  <si>
    <t>სასცენო კონსტრუქციები და დეკორაციები</t>
  </si>
  <si>
    <t>სსიპ სახელმწიფო სპეციალური კავშირები</t>
  </si>
  <si>
    <t>რეკლამა ჟურნალში where</t>
  </si>
  <si>
    <t>ი.მ. ქეთევან ნინიძე</t>
  </si>
  <si>
    <t>ფ.პ. ლექსო პაიკიძე</t>
  </si>
  <si>
    <t>შპს "ვითი ჯგუფი"</t>
  </si>
  <si>
    <t>ი.მ. თამარ ჟორჟოლიანი</t>
  </si>
  <si>
    <t>შპს "იტა ჯორჯია"</t>
  </si>
  <si>
    <t>შპს "სითი სოუნდი"</t>
  </si>
  <si>
    <t>ღონისძიების ორგანიზება ევროვიზიის ფარგლებში</t>
  </si>
  <si>
    <t>სსიპ შინაგან საქმეთა სამინოსტროს მომსახურების სააგენტო</t>
  </si>
  <si>
    <t>ავტომობილის რეგისტრაციის საფასური</t>
  </si>
  <si>
    <t>Cenimex LTD</t>
  </si>
  <si>
    <t>ღვინის შესყიდვა ლონდონის გამოფენისთვის</t>
  </si>
  <si>
    <t>შპს "pro cinema production" JSC</t>
  </si>
  <si>
    <t>სხვადასხვა მომსახურებები - გენერატორით მომსახურების შესყიდვა ევროვიზიის ფარგლებში</t>
  </si>
  <si>
    <t>შპს "სი-ტი პარკ"</t>
  </si>
  <si>
    <t>ავტომობილის სადგომის საფასური</t>
  </si>
  <si>
    <t>შპს "ვი თი ჯგუფი"</t>
  </si>
  <si>
    <t>შპს "ჩექინ"</t>
  </si>
  <si>
    <t>შპს "ჯორჯიან ივენთი"</t>
  </si>
  <si>
    <t>კვების მიწოდების მომსახურება ევროვიზიის ფარგლებში</t>
  </si>
  <si>
    <t>შპს "გლობალ რტს ჯეორჯია"</t>
  </si>
  <si>
    <t>მოედნის საფარისა და ფუნქციონალური სათავსოების უზრუნველყოფა</t>
  </si>
  <si>
    <t>ფ.პ. ელენე კალანდაძე</t>
  </si>
  <si>
    <t>წამყვანის მომსახურება</t>
  </si>
  <si>
    <t>ფ.პ. ლიზი ჯაფარიძე</t>
  </si>
  <si>
    <t>დაჯილდოების ორგანიზება</t>
  </si>
  <si>
    <t>CMR170178350</t>
  </si>
  <si>
    <t>20.10.2017</t>
  </si>
  <si>
    <t>CMR170179329</t>
  </si>
  <si>
    <t>CMR170179327</t>
  </si>
  <si>
    <t>CMR170179252</t>
  </si>
  <si>
    <t xml:space="preserve">CMR170179054 </t>
  </si>
  <si>
    <t xml:space="preserve">CMR170179059 </t>
  </si>
  <si>
    <t>CMR170179259</t>
  </si>
  <si>
    <t>23.10.2017</t>
  </si>
  <si>
    <t>CMR170182244</t>
  </si>
  <si>
    <t>CMR170182240</t>
  </si>
  <si>
    <t>CMR170179182</t>
  </si>
  <si>
    <t>CMR170179887</t>
  </si>
  <si>
    <t>CMR170179906</t>
  </si>
  <si>
    <t>24.10.2017</t>
  </si>
  <si>
    <t>CMR170175942</t>
  </si>
  <si>
    <t>CMR170177150</t>
  </si>
  <si>
    <t>CMR170176439</t>
  </si>
  <si>
    <t>CMR170176978</t>
  </si>
  <si>
    <t>CMR170181412</t>
  </si>
  <si>
    <t>CMR170181417</t>
  </si>
  <si>
    <t>CMR170181406</t>
  </si>
  <si>
    <t>CMR170181419</t>
  </si>
  <si>
    <t>CMR170181423</t>
  </si>
  <si>
    <t>CMR170181426</t>
  </si>
  <si>
    <t>CMR170181446</t>
  </si>
  <si>
    <t>CMR170181444</t>
  </si>
  <si>
    <t>CMR170181430</t>
  </si>
  <si>
    <t>CMR170181449</t>
  </si>
  <si>
    <t>CMR170181399</t>
  </si>
  <si>
    <t>CMR170181396</t>
  </si>
  <si>
    <t>CMR170178124</t>
  </si>
  <si>
    <t>25.10.2017</t>
  </si>
  <si>
    <t>CMR170181009</t>
  </si>
  <si>
    <t>CMR170181040</t>
  </si>
  <si>
    <t>CMR170180919</t>
  </si>
  <si>
    <t>CMR170182131</t>
  </si>
  <si>
    <t>CMR170181025</t>
  </si>
  <si>
    <t>CMR170182202</t>
  </si>
  <si>
    <t>CMR170182217</t>
  </si>
  <si>
    <t>CMR170182224</t>
  </si>
  <si>
    <t>CMR170182123</t>
  </si>
  <si>
    <t>CMR170182115</t>
  </si>
  <si>
    <t>CMR170182195</t>
  </si>
  <si>
    <t>CMR170182183</t>
  </si>
  <si>
    <t>CMR170182006</t>
  </si>
  <si>
    <t>CMR170182158</t>
  </si>
  <si>
    <t>CMR170182142</t>
  </si>
  <si>
    <t>CMR170182237</t>
  </si>
  <si>
    <t>CMR170182242</t>
  </si>
  <si>
    <t>CMR170178338</t>
  </si>
  <si>
    <t>26.10.2017</t>
  </si>
  <si>
    <t>CMR170179401</t>
  </si>
  <si>
    <t>CMR170177570</t>
  </si>
  <si>
    <t>CMR170177755</t>
  </si>
  <si>
    <t>27.10.2017</t>
  </si>
  <si>
    <t>CMR170182015</t>
  </si>
  <si>
    <t>31.10.2017</t>
  </si>
  <si>
    <t>CMR170180016</t>
  </si>
  <si>
    <t>CMR170182024</t>
  </si>
  <si>
    <t>CMR170180924</t>
  </si>
  <si>
    <t>CMR170182514</t>
  </si>
  <si>
    <t>CMR170180929</t>
  </si>
  <si>
    <t>CMR170182032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</si>
  <si>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27 ოქტომბრის  #2239 განკარგულების საფუძველზე (SMP170002515)</t>
  </si>
  <si>
    <t>CMR170180518</t>
  </si>
  <si>
    <t>CMR170181816</t>
  </si>
  <si>
    <t>02.11.2017</t>
  </si>
  <si>
    <t>03.11.2017</t>
  </si>
  <si>
    <t>SPA170013224</t>
  </si>
  <si>
    <t>1010/1</t>
  </si>
  <si>
    <t>16,10,2017</t>
  </si>
  <si>
    <t>CMR170181998</t>
  </si>
  <si>
    <t>CMR170175869</t>
  </si>
  <si>
    <t>CMR170175381</t>
  </si>
  <si>
    <t>CMR170175391</t>
  </si>
  <si>
    <t>CMR170170904</t>
  </si>
  <si>
    <t>CMR170174399</t>
  </si>
  <si>
    <t>CMR170174549</t>
  </si>
  <si>
    <t>CMR170174640</t>
  </si>
  <si>
    <t>CMR170171409</t>
  </si>
  <si>
    <t>CMR170171421</t>
  </si>
  <si>
    <t>CMR170174694</t>
  </si>
  <si>
    <t>CMR170171701</t>
  </si>
  <si>
    <t>CMR170171692</t>
  </si>
  <si>
    <t>CMR170173766</t>
  </si>
  <si>
    <t>CMR170172935</t>
  </si>
  <si>
    <t>CMR170172939</t>
  </si>
  <si>
    <t>CMR170175338</t>
  </si>
  <si>
    <t>CMR170174725</t>
  </si>
  <si>
    <t>CMR170174703</t>
  </si>
  <si>
    <t>CMR170174668</t>
  </si>
  <si>
    <t>CMR170174676</t>
  </si>
  <si>
    <t>CMR170176461</t>
  </si>
  <si>
    <t>CMR170174735</t>
  </si>
  <si>
    <t>CMR170174734</t>
  </si>
  <si>
    <t>CMR170174737</t>
  </si>
  <si>
    <t>CMR170174736</t>
  </si>
  <si>
    <t>CMR170174738</t>
  </si>
  <si>
    <t>CMR170177560</t>
  </si>
  <si>
    <t>CMR170176350</t>
  </si>
  <si>
    <t>CMR170177566</t>
  </si>
  <si>
    <t>CMR170176419</t>
  </si>
  <si>
    <t>CMR170176358</t>
  </si>
  <si>
    <t>CMR170176344</t>
  </si>
  <si>
    <t>CMR170176335</t>
  </si>
  <si>
    <t>CMR170142924</t>
  </si>
  <si>
    <t>278.30 </t>
  </si>
  <si>
    <t>CMR170170252</t>
  </si>
  <si>
    <t>2`300.00</t>
  </si>
  <si>
    <t>10`745.00 </t>
  </si>
  <si>
    <t>CMR170176495</t>
  </si>
  <si>
    <t>CMR170178252</t>
  </si>
  <si>
    <t>CMR170174677</t>
  </si>
  <si>
    <t>CMR170176737</t>
  </si>
  <si>
    <t>22`139.57</t>
  </si>
  <si>
    <t>CMR170175276</t>
  </si>
  <si>
    <t>935.10 </t>
  </si>
  <si>
    <t>3`200.00 </t>
  </si>
  <si>
    <t>2`232.50</t>
  </si>
  <si>
    <t>1`314.00</t>
  </si>
  <si>
    <t>1`062.50</t>
  </si>
  <si>
    <t>885.50 </t>
  </si>
  <si>
    <t>1`050.00</t>
  </si>
  <si>
    <t>5`962.60</t>
  </si>
  <si>
    <t>1`310.00</t>
  </si>
  <si>
    <t>1`112.50 </t>
  </si>
  <si>
    <t>3`500.00</t>
  </si>
  <si>
    <t>212.50 </t>
  </si>
  <si>
    <t>7`840.00 </t>
  </si>
  <si>
    <t>8`483.48 </t>
  </si>
  <si>
    <t>491.70 </t>
  </si>
  <si>
    <t>CMR170175443</t>
  </si>
  <si>
    <t>2`850.00</t>
  </si>
  <si>
    <t>671.00 </t>
  </si>
  <si>
    <t>1`364.00 </t>
  </si>
  <si>
    <t>4`601.00</t>
  </si>
  <si>
    <t>2`462.50 </t>
  </si>
  <si>
    <t>365.13 </t>
  </si>
  <si>
    <t>400.00 </t>
  </si>
  <si>
    <t>152.40 </t>
  </si>
  <si>
    <t>1`105.00 </t>
  </si>
  <si>
    <t>1`987.50</t>
  </si>
  <si>
    <t>257.60 </t>
  </si>
  <si>
    <t>3`990.00</t>
  </si>
  <si>
    <t>21`000.00</t>
  </si>
  <si>
    <t>356.00 </t>
  </si>
  <si>
    <t>9`864.80 </t>
  </si>
  <si>
    <t>57.00 </t>
  </si>
  <si>
    <t>1`560.00 </t>
  </si>
  <si>
    <t>2`100.00 </t>
  </si>
  <si>
    <t>2`860.00</t>
  </si>
  <si>
    <t>2`950.00 </t>
  </si>
  <si>
    <t>13`200.00</t>
  </si>
  <si>
    <t>2`551.00</t>
  </si>
  <si>
    <t>1`340.00 </t>
  </si>
  <si>
    <t>14`022.00</t>
  </si>
  <si>
    <t>190.00 </t>
  </si>
  <si>
    <t>451.00 </t>
  </si>
  <si>
    <t>860.00 </t>
  </si>
  <si>
    <t>2`460.00</t>
  </si>
  <si>
    <t>3`250.00</t>
  </si>
  <si>
    <t>148.00 </t>
  </si>
  <si>
    <t>5`375.00 </t>
  </si>
  <si>
    <t>13`434.30 </t>
  </si>
  <si>
    <t>CMR170183232</t>
  </si>
  <si>
    <t>38`392.00</t>
  </si>
  <si>
    <t>4`665.00 </t>
  </si>
  <si>
    <t>შპს "Opertec europe d.o.o."</t>
  </si>
  <si>
    <t>კრანებისა და კამერა გრიპის მომსახურების შესყიდვა</t>
  </si>
  <si>
    <t>შპს "Fairservices.net"</t>
  </si>
  <si>
    <t>ბარსელონას სტენდი</t>
  </si>
  <si>
    <t>შპს "გრანდი"</t>
  </si>
  <si>
    <t>შპს "ჯი ემ თი მთაწმინდა"</t>
  </si>
  <si>
    <t>ი.მ. რობერტ ოვანესიანი</t>
  </si>
  <si>
    <t>შპს 'გურმე"</t>
  </si>
  <si>
    <t>შპს "ალტიტუდა"</t>
  </si>
  <si>
    <t>შპს "ძველი სახლი"</t>
  </si>
  <si>
    <t>შპს "ელექტრონიკა"</t>
  </si>
  <si>
    <t>ევროვიზიის ფარგლებში ტრანსპორტით უზრუნველყოფა</t>
  </si>
  <si>
    <t>ევროვიზიის ტრანსპორტის ბრენდირება</t>
  </si>
  <si>
    <t>ევროვიზიის ფარგლებში დიზელის საწვავით გენერატორის უზრუნველყოფა</t>
  </si>
  <si>
    <t>CMR170187253</t>
  </si>
  <si>
    <t>CMR170187232</t>
  </si>
  <si>
    <t>CMR170187258</t>
  </si>
  <si>
    <t>07.11.2017</t>
  </si>
  <si>
    <t>CMR170183718</t>
  </si>
  <si>
    <t>08.11.2017</t>
  </si>
  <si>
    <t>CMR170187274</t>
  </si>
  <si>
    <t>09.11.2017</t>
  </si>
  <si>
    <t>CMR170187932</t>
  </si>
  <si>
    <t>CMR170187277</t>
  </si>
  <si>
    <t>CMR170185644</t>
  </si>
  <si>
    <t>10.11.2017</t>
  </si>
  <si>
    <t>CMR170188283</t>
  </si>
  <si>
    <t>CMR170187978</t>
  </si>
  <si>
    <t>CMR170187982</t>
  </si>
  <si>
    <t>CMR170187956</t>
  </si>
  <si>
    <t>CMR170190272</t>
  </si>
  <si>
    <t>13.11.2017</t>
  </si>
  <si>
    <t>CMR170190267</t>
  </si>
  <si>
    <t>14.11.2017</t>
  </si>
  <si>
    <t>15.11.2017</t>
  </si>
  <si>
    <t>16.11.2017</t>
  </si>
  <si>
    <t>17.11.2017</t>
  </si>
  <si>
    <t>CMR170184184</t>
  </si>
  <si>
    <t>CMR170183928</t>
  </si>
  <si>
    <t>CMR170183141</t>
  </si>
  <si>
    <t>380.00 </t>
  </si>
  <si>
    <t>3`134.00</t>
  </si>
  <si>
    <t>1`159.40</t>
  </si>
  <si>
    <t>2`550.00 </t>
  </si>
  <si>
    <t>CMR170187249</t>
  </si>
  <si>
    <t>CMR170187240</t>
  </si>
  <si>
    <t>CMR170187251</t>
  </si>
  <si>
    <t>CMR170187244</t>
  </si>
  <si>
    <t>2`331.25 </t>
  </si>
  <si>
    <t>11`500.00 </t>
  </si>
  <si>
    <t>5`181.70</t>
  </si>
  <si>
    <t>1`080.00</t>
  </si>
  <si>
    <t>CMR170182521</t>
  </si>
  <si>
    <t>1`394.00</t>
  </si>
  <si>
    <t>CMR170183916</t>
  </si>
  <si>
    <t>794.00 </t>
  </si>
  <si>
    <t>563.00 </t>
  </si>
  <si>
    <t>85.00 </t>
  </si>
  <si>
    <t>6`743.36 </t>
  </si>
  <si>
    <t>14`980.26 </t>
  </si>
  <si>
    <t xml:space="preserve">14`980.26 </t>
  </si>
  <si>
    <t>1`236.56 </t>
  </si>
  <si>
    <t>CMR170190564</t>
  </si>
  <si>
    <t>916.38 </t>
  </si>
  <si>
    <t>CMR170190556</t>
  </si>
  <si>
    <t>CMR170192700</t>
  </si>
  <si>
    <t>CMR170190554</t>
  </si>
  <si>
    <t>CMR170190549</t>
  </si>
  <si>
    <t>CMR170193318</t>
  </si>
  <si>
    <t>CMR170193239</t>
  </si>
  <si>
    <t>CMR170193285</t>
  </si>
  <si>
    <t>CMR170190555</t>
  </si>
  <si>
    <t>853.32 </t>
  </si>
  <si>
    <t xml:space="preserve">CMR170190876 </t>
  </si>
  <si>
    <t>2`200.00</t>
  </si>
  <si>
    <t xml:space="preserve">CMR170190890 </t>
  </si>
  <si>
    <t>CMR170190854</t>
  </si>
  <si>
    <t>1`964.40</t>
  </si>
  <si>
    <t>35`683.70 </t>
  </si>
  <si>
    <t xml:space="preserve">35`683.70 </t>
  </si>
  <si>
    <t>4`011.80 </t>
  </si>
  <si>
    <t>3`851.70</t>
  </si>
  <si>
    <t>56`301.00</t>
  </si>
  <si>
    <t>შპს " მათემოტორსი"</t>
  </si>
  <si>
    <t>შპს "აითი ნოლიჯი"</t>
  </si>
  <si>
    <t>შპს "კახეთის ღვინის ცენტრი"</t>
  </si>
  <si>
    <t>სს "სადაზღვევო კომპანია ალდაგი"</t>
  </si>
  <si>
    <t>შპს "ედლაინი"</t>
  </si>
  <si>
    <t>შპს "Dars Consulting (UK)"</t>
  </si>
  <si>
    <t>სსიპ "დაცვის პოლიციის დეპარტამენტი"</t>
  </si>
  <si>
    <t>ზეთის ფილტრების შესყიდვა</t>
  </si>
  <si>
    <t>ექსელის ტრენინგი</t>
  </si>
  <si>
    <t>თბილისის რუკის ბეჭდვა</t>
  </si>
  <si>
    <t xml:space="preserve">კვების მიწოდების მომსახურება </t>
  </si>
  <si>
    <t>რეკლამა - ჟურნალში ინტერიერი</t>
  </si>
  <si>
    <t>სარეკლამო კამპანია ევრონიუსზე</t>
  </si>
  <si>
    <t>მესამე პირების მიმართ პასუხისმგებლობის დაზღვევა ევროვიზიის ღონისძიების ფარგლებში</t>
  </si>
  <si>
    <t>სარეკლამო კამპანია - სხვადასხვა ვებ-გვერდებსა და ჟურნალებში</t>
  </si>
  <si>
    <t>მარკეტინგის და გაყიდვების ტრენინგი</t>
  </si>
  <si>
    <t>ონკანის შესყიდვა</t>
  </si>
  <si>
    <t>ლეპტოპის შესყიდვა</t>
  </si>
  <si>
    <t>სარეკლამო კამპანია - ბიბისის სატელევიზიო არხზე</t>
  </si>
  <si>
    <t xml:space="preserve">დაბა ბაკურიანში საინფორმაციო ცენტრის დაცვა </t>
  </si>
  <si>
    <t>20.11.2017</t>
  </si>
  <si>
    <t>CMR170194836</t>
  </si>
  <si>
    <t>CMR170195664</t>
  </si>
  <si>
    <t>21.11.2017</t>
  </si>
  <si>
    <t>CMR170194114</t>
  </si>
  <si>
    <t>CMR170194124</t>
  </si>
  <si>
    <t>SPA170013650</t>
  </si>
  <si>
    <t>CMR170193636</t>
  </si>
  <si>
    <t>CMR170196691</t>
  </si>
  <si>
    <t>22.11.2017</t>
  </si>
  <si>
    <t>CMR170194680</t>
  </si>
  <si>
    <t>CMR170194693</t>
  </si>
  <si>
    <t>CMR170194685</t>
  </si>
  <si>
    <t>CMR170194703</t>
  </si>
  <si>
    <t>CMR170196450</t>
  </si>
  <si>
    <t>CMR170194899</t>
  </si>
  <si>
    <t>CMR170193713</t>
  </si>
  <si>
    <t>CMR170193211</t>
  </si>
  <si>
    <t>27.11.2017</t>
  </si>
  <si>
    <t>28.11.2017</t>
  </si>
  <si>
    <t>CMR170195526</t>
  </si>
  <si>
    <t>29.11.2017</t>
  </si>
  <si>
    <t>30.11.2017</t>
  </si>
  <si>
    <t>CMR170197023</t>
  </si>
  <si>
    <t>01.12.2017</t>
  </si>
  <si>
    <t>4`405.00</t>
  </si>
  <si>
    <t>280.50 </t>
  </si>
  <si>
    <r>
      <t>საქართველოს კანონი სახელმწიფო შესყიდვების შესახებ, მე-3 მუხლის 1  პუნქტის "ს</t>
    </r>
    <r>
      <rPr>
        <vertAlign val="superscript"/>
        <sz val="8"/>
        <color rgb="FFFF0000"/>
        <rFont val="Sylfaen"/>
        <family val="1"/>
      </rPr>
      <t>1</t>
    </r>
    <r>
      <rPr>
        <sz val="8"/>
        <color rgb="FFFF0000"/>
        <rFont val="Sylfaen"/>
        <family val="1"/>
      </rPr>
      <t xml:space="preserve">" ქვეპუნქტი </t>
    </r>
  </si>
  <si>
    <t>CMR170183109</t>
  </si>
  <si>
    <t>CMR170183144</t>
  </si>
  <si>
    <t>CMR170195862</t>
  </si>
  <si>
    <t>CMR170192468</t>
  </si>
  <si>
    <t>CMR170192487</t>
  </si>
  <si>
    <t>CMR170192497</t>
  </si>
  <si>
    <t>CMR170191614</t>
  </si>
  <si>
    <t>CMR170193167</t>
  </si>
  <si>
    <t>CMR170191624</t>
  </si>
  <si>
    <t>CMR170193314</t>
  </si>
  <si>
    <t>CMR170192143</t>
  </si>
  <si>
    <t>147.40 </t>
  </si>
  <si>
    <t>540.00 </t>
  </si>
  <si>
    <t>1`125.00</t>
  </si>
  <si>
    <t>676`638.31 </t>
  </si>
  <si>
    <t>1`097`026.56</t>
  </si>
  <si>
    <t>171`968.48</t>
  </si>
  <si>
    <t>25`832.02 </t>
  </si>
  <si>
    <t>10`000.03</t>
  </si>
  <si>
    <t>CMR170183004</t>
  </si>
  <si>
    <t>134`956.60</t>
  </si>
  <si>
    <t>39`360.00 </t>
  </si>
  <si>
    <t>CMR170198328</t>
  </si>
  <si>
    <t>12`000.00</t>
  </si>
  <si>
    <t>3`750.00 </t>
  </si>
  <si>
    <t>1`785`050.0</t>
  </si>
  <si>
    <t>2`500.00 </t>
  </si>
  <si>
    <t>16`618.20</t>
  </si>
  <si>
    <t>206`278.05</t>
  </si>
  <si>
    <t>1`750.00</t>
  </si>
  <si>
    <t>63`962.24</t>
  </si>
  <si>
    <t>CMR170199148</t>
  </si>
  <si>
    <t>1`150.00</t>
  </si>
  <si>
    <t>13`512.00 </t>
  </si>
  <si>
    <t>CMR170198901</t>
  </si>
  <si>
    <t>1`546`159.42</t>
  </si>
  <si>
    <t>19.00 </t>
  </si>
  <si>
    <t>CMR170200067</t>
  </si>
  <si>
    <t>CMR170200056</t>
  </si>
  <si>
    <t>92.00 </t>
  </si>
  <si>
    <t>შპს "მაქრო ფუდი"</t>
  </si>
  <si>
    <t>დაჯილდოებაზე კვების მიწოდების მომსახურება</t>
  </si>
  <si>
    <t>ააიპ საქართველოს გიდების ასოციაცია</t>
  </si>
  <si>
    <t>ტრენინგი გიდებისთვის</t>
  </si>
  <si>
    <t>შპს "Witnes Media, LLC"</t>
  </si>
  <si>
    <t>რეკლამა ჟურნალში - Buying Buisiness Travel Russia"</t>
  </si>
  <si>
    <t>საინფორმაციო ცენტრში ელექტროგაყვანილობის შეკეთება</t>
  </si>
  <si>
    <t>ფ.პ. თორნიკე გაგუა</t>
  </si>
  <si>
    <t>შპს "ლ.ს.ლ. და კომპანია"</t>
  </si>
  <si>
    <t>ძრავის ელემენტების შესყიდვა</t>
  </si>
  <si>
    <t>შპს "ფოლკ გარდენ ფაინ ენდ ფუდ კატერინგი"</t>
  </si>
  <si>
    <t>შპს "ბინა 37"</t>
  </si>
  <si>
    <t>ი.მ. მედეა დიასამიძე</t>
  </si>
  <si>
    <t>შპს "წოდორეთის მარანი"</t>
  </si>
  <si>
    <t>შპს "ჰოტელს მენეჯმენტ გრუპი MMG"</t>
  </si>
  <si>
    <t>ბეჭდვა საპრომოციო მასალის</t>
  </si>
  <si>
    <t>შპს "გვანცა 2009"</t>
  </si>
  <si>
    <t>ნათურების შესყიდვა</t>
  </si>
  <si>
    <t>შპს "კერხერი"</t>
  </si>
  <si>
    <t>ფილტრის შესყიდვა</t>
  </si>
  <si>
    <t>საპრომოციო მასალის ბეჭდვა</t>
  </si>
  <si>
    <t>შპს "საგა იმპექსი"</t>
  </si>
  <si>
    <t>გამათბობლის შეკეთება</t>
  </si>
  <si>
    <t>რეკლამა ჟურნალში - "რკინიგზა"</t>
  </si>
  <si>
    <t>ელ. გამათბობლის შესყიდვა</t>
  </si>
  <si>
    <t>შპს "გრანდ ელექტრონიქსი"</t>
  </si>
  <si>
    <t>შპს ვიზარდ ივენთი</t>
  </si>
  <si>
    <t>შპს "სანატორიუმი კოლხიდა"</t>
  </si>
  <si>
    <t>04.12.2017</t>
  </si>
  <si>
    <t>CMR170201649</t>
  </si>
  <si>
    <t>CMR170202466</t>
  </si>
  <si>
    <t>CMR170200759</t>
  </si>
  <si>
    <t>CMR170199900</t>
  </si>
  <si>
    <t>05.12.2017</t>
  </si>
  <si>
    <t>CMR170202803</t>
  </si>
  <si>
    <t>CMR170203712</t>
  </si>
  <si>
    <t>CMR170202812</t>
  </si>
  <si>
    <t>CMR170201694</t>
  </si>
  <si>
    <t>CMR170206837</t>
  </si>
  <si>
    <t>CMR170206807</t>
  </si>
  <si>
    <t>CMR170206780</t>
  </si>
  <si>
    <t>CMR170206789</t>
  </si>
  <si>
    <t>08.12.2017</t>
  </si>
  <si>
    <t>CMR170203932</t>
  </si>
  <si>
    <t>CMR170203411</t>
  </si>
  <si>
    <t>CMR170208027</t>
  </si>
  <si>
    <t>CMR170207613</t>
  </si>
  <si>
    <t>CMR170203390</t>
  </si>
  <si>
    <t>CMR170203421</t>
  </si>
  <si>
    <t>CMR170207744</t>
  </si>
  <si>
    <t>CMR170208185</t>
  </si>
  <si>
    <t>CMR170204600</t>
  </si>
  <si>
    <t>CMR170204632</t>
  </si>
  <si>
    <t>CMR170206489</t>
  </si>
  <si>
    <t>CMR170206454</t>
  </si>
  <si>
    <t>CMR170206431</t>
  </si>
  <si>
    <t>CMR170204621</t>
  </si>
  <si>
    <t>CMR170206804</t>
  </si>
  <si>
    <t>11.12.2017</t>
  </si>
  <si>
    <t>CMR170207629</t>
  </si>
  <si>
    <t>CMR170207618</t>
  </si>
  <si>
    <t>CMR170208639</t>
  </si>
  <si>
    <t>CMR170210576</t>
  </si>
  <si>
    <t>CMR170206624</t>
  </si>
  <si>
    <t>12.12.2017</t>
  </si>
  <si>
    <t>CMR170206819</t>
  </si>
  <si>
    <t>13.12.2017</t>
  </si>
  <si>
    <t>CMR170208143</t>
  </si>
  <si>
    <t>CMR170208116</t>
  </si>
  <si>
    <t>14.12.2017</t>
  </si>
  <si>
    <t>CMR170206765</t>
  </si>
  <si>
    <t>CMR170209075</t>
  </si>
  <si>
    <t>CMR170211529</t>
  </si>
  <si>
    <t>15.12.2017</t>
  </si>
  <si>
    <t>CMR170208776</t>
  </si>
  <si>
    <t>CMR170208785</t>
  </si>
  <si>
    <t>CMR170207833</t>
  </si>
  <si>
    <t>CMR170210942</t>
  </si>
  <si>
    <t>18.12.2017</t>
  </si>
  <si>
    <t>CMR170210768</t>
  </si>
  <si>
    <t>19.12.2017</t>
  </si>
  <si>
    <t>CMR170210172</t>
  </si>
  <si>
    <t>CMR170210194</t>
  </si>
  <si>
    <t>CMR170210924</t>
  </si>
  <si>
    <t>20.12.2017</t>
  </si>
  <si>
    <t>3`408.00</t>
  </si>
  <si>
    <t>125.00 </t>
  </si>
  <si>
    <t>18`474.40</t>
  </si>
  <si>
    <t>168`320.07</t>
  </si>
  <si>
    <t>287.10 </t>
  </si>
  <si>
    <t>3`540.00 </t>
  </si>
  <si>
    <t>7`965.00</t>
  </si>
  <si>
    <t>12`306.00</t>
  </si>
  <si>
    <t>5`508.00</t>
  </si>
  <si>
    <t>CMR170198370</t>
  </si>
  <si>
    <t>CMR170198378</t>
  </si>
  <si>
    <t>96.00 </t>
  </si>
  <si>
    <t>147.73 </t>
  </si>
  <si>
    <t>51`979.00 </t>
  </si>
  <si>
    <t>შპს "ბლექ სი არენა ჯორჯია"</t>
  </si>
  <si>
    <t>სხვადასხვა მომსახურებები - ტრანსპორტირება, დემონტაჟი და მონტაჟი</t>
  </si>
  <si>
    <t>4`940.00 </t>
  </si>
  <si>
    <t>3`642.40</t>
  </si>
  <si>
    <t>271.00 </t>
  </si>
  <si>
    <t>533.80 </t>
  </si>
  <si>
    <t>4`590.00</t>
  </si>
  <si>
    <t>401.35 </t>
  </si>
  <si>
    <t>6`529.00</t>
  </si>
  <si>
    <t>323.18 </t>
  </si>
  <si>
    <t>1`504.25</t>
  </si>
  <si>
    <t>1`560.00</t>
  </si>
  <si>
    <t>2`077.20 </t>
  </si>
  <si>
    <t>4`300.00</t>
  </si>
  <si>
    <t>4`350.00</t>
  </si>
  <si>
    <t>3`775.00 </t>
  </si>
  <si>
    <t>354.20 </t>
  </si>
  <si>
    <t>217`447.77</t>
  </si>
  <si>
    <t>3880.00 </t>
  </si>
  <si>
    <t>2050.00 </t>
  </si>
  <si>
    <t>4176.00 </t>
  </si>
  <si>
    <t>1500.00 </t>
  </si>
  <si>
    <t>1100.00 </t>
  </si>
  <si>
    <t>4462.50 </t>
  </si>
  <si>
    <t>2000.00 </t>
  </si>
  <si>
    <t>1280.00 </t>
  </si>
  <si>
    <t>2800.00 </t>
  </si>
  <si>
    <t>29957.40 </t>
  </si>
  <si>
    <t>3500.00 </t>
  </si>
  <si>
    <t>4400.00 </t>
  </si>
  <si>
    <t>101920.73 </t>
  </si>
  <si>
    <t>1731.25 </t>
  </si>
  <si>
    <t>2751.50 </t>
  </si>
  <si>
    <t>7799.20 </t>
  </si>
  <si>
    <t>2700.00 </t>
  </si>
  <si>
    <t>595.00 </t>
  </si>
  <si>
    <t>956.00 </t>
  </si>
  <si>
    <t>344.30 </t>
  </si>
  <si>
    <t>CMR170215046</t>
  </si>
  <si>
    <t>შპს "სი-ტი პარკი"</t>
  </si>
  <si>
    <t>შპს "კა ელ ჯი+"</t>
  </si>
  <si>
    <t>შპს "ორინეტ ლოჯიკი"</t>
  </si>
  <si>
    <t xml:space="preserve">საავტორო უფლებათა ასოციაცია </t>
  </si>
  <si>
    <t>სადგომის მომსახურება</t>
  </si>
  <si>
    <t>ტელევიზორებისა და საკიდების შესყიდვა</t>
  </si>
  <si>
    <t>უწყვეტი კვების წყარო</t>
  </si>
  <si>
    <t>ევროვიზიის ფარგლებში საჯარი შესრულების ლიცენზია</t>
  </si>
  <si>
    <t>CMR170215021</t>
  </si>
  <si>
    <t>22.12.2017</t>
  </si>
  <si>
    <t>31.01.2019</t>
  </si>
  <si>
    <t>CMR170215255</t>
  </si>
  <si>
    <t>25.12.2017</t>
  </si>
  <si>
    <t>CMR170217162</t>
  </si>
  <si>
    <t>CMR170217533</t>
  </si>
  <si>
    <t>CMR170217516</t>
  </si>
  <si>
    <t>26.12.2017</t>
  </si>
  <si>
    <t>CMR170217514</t>
  </si>
  <si>
    <t>500.00 </t>
  </si>
  <si>
    <t>195`404.00</t>
  </si>
  <si>
    <t>3`880.00</t>
  </si>
  <si>
    <t>CMR170202799</t>
  </si>
  <si>
    <t>68`773.00</t>
  </si>
  <si>
    <t>248.00 </t>
  </si>
  <si>
    <t>40.00 </t>
  </si>
  <si>
    <t> 2`690.00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</si>
</sst>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6" formatCode="mm/dd/yyyy"/>
    <numFmt numFmtId="167" formatCode="dd\.mm\.yyyy;@"/>
    <numFmt numFmtId="168" formatCode="dd\.mm\.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ylfaen"/>
      <family val="1"/>
      <charset val="204"/>
    </font>
    <font>
      <sz val="8"/>
      <name val="Sylfaen"/>
      <family val="1"/>
      <charset val="204"/>
    </font>
    <font>
      <b/>
      <sz val="9"/>
      <name val="Sylfaen"/>
      <family val="1"/>
      <charset val="204"/>
    </font>
    <font>
      <sz val="10"/>
      <name val="Arial"/>
      <family val="2"/>
      <charset val="204"/>
    </font>
    <font>
      <sz val="8"/>
      <name val="Calibri"/>
      <family val="2"/>
    </font>
    <font>
      <vertAlign val="superscript"/>
      <sz val="8"/>
      <name val="Sylfae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Sylfaen"/>
      <family val="1"/>
    </font>
    <font>
      <sz val="8"/>
      <name val="Arial"/>
      <family val="2"/>
      <charset val="204"/>
    </font>
    <font>
      <sz val="8"/>
      <color rgb="FFFF0000"/>
      <name val="Sylfaen"/>
      <family val="1"/>
    </font>
    <font>
      <sz val="8"/>
      <name val="Verdana"/>
      <family val="2"/>
      <charset val="204"/>
    </font>
    <font>
      <sz val="8"/>
      <color rgb="FFFF0000"/>
      <name val="Sylfaen"/>
      <family val="1"/>
      <charset val="204"/>
    </font>
    <font>
      <sz val="9"/>
      <name val="Verdana"/>
      <family val="2"/>
      <charset val="204"/>
    </font>
    <font>
      <sz val="8"/>
      <color theme="1"/>
      <name val="Sylfaen"/>
      <family val="1"/>
    </font>
    <font>
      <b/>
      <sz val="11"/>
      <color rgb="FF222222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Sylfaen"/>
      <family val="1"/>
    </font>
    <font>
      <sz val="10"/>
      <color theme="1"/>
      <name val="Verdana"/>
      <family val="2"/>
      <charset val="204"/>
    </font>
    <font>
      <b/>
      <sz val="8"/>
      <color rgb="FF0073EA"/>
      <name val="Verdana"/>
      <family val="2"/>
      <charset val="204"/>
    </font>
    <font>
      <sz val="10"/>
      <color rgb="FF222222"/>
      <name val="Verdana"/>
      <family val="2"/>
      <charset val="204"/>
    </font>
    <font>
      <sz val="9"/>
      <color theme="1" tint="4.9989318521683403E-2"/>
      <name val="Verdana"/>
      <family val="2"/>
      <charset val="204"/>
    </font>
    <font>
      <sz val="11"/>
      <color rgb="FF222222"/>
      <name val="Verdana"/>
      <family val="2"/>
      <charset val="204"/>
    </font>
    <font>
      <b/>
      <sz val="14"/>
      <color rgb="FF0073EA"/>
      <name val="Verdana"/>
      <family val="2"/>
      <charset val="204"/>
    </font>
    <font>
      <b/>
      <sz val="10"/>
      <color rgb="FF0073EA"/>
      <name val="Verdana"/>
      <family val="2"/>
      <charset val="204"/>
    </font>
    <font>
      <sz val="9"/>
      <name val="Sylfaen"/>
      <family val="1"/>
    </font>
    <font>
      <vertAlign val="superscript"/>
      <sz val="8"/>
      <color rgb="FFFF0000"/>
      <name val="Sylfaen"/>
      <family val="1"/>
    </font>
    <font>
      <b/>
      <sz val="9"/>
      <name val="Sylfaen"/>
      <family val="1"/>
    </font>
    <font>
      <b/>
      <sz val="9"/>
      <color rgb="FF222222"/>
      <name val="Verdana"/>
      <family val="2"/>
      <charset val="204"/>
    </font>
    <font>
      <b/>
      <sz val="9"/>
      <color rgb="FFFF0000"/>
      <name val="Sylfaen"/>
      <family val="1"/>
    </font>
    <font>
      <b/>
      <sz val="9"/>
      <color theme="1" tint="0.14999847407452621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/>
    <xf numFmtId="0" fontId="1" fillId="0" borderId="0"/>
  </cellStyleXfs>
  <cellXfs count="80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4" fillId="0" borderId="1" xfId="0" applyFont="1" applyFill="1" applyBorder="1"/>
    <xf numFmtId="0" fontId="25" fillId="0" borderId="1" xfId="0" applyFont="1" applyBorder="1"/>
    <xf numFmtId="0" fontId="13" fillId="5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168" fontId="15" fillId="4" borderId="1" xfId="0" applyNumberFormat="1" applyFont="1" applyFill="1" applyBorder="1" applyAlignment="1">
      <alignment horizontal="center" vertical="center" wrapText="1"/>
    </xf>
    <xf numFmtId="167" fontId="15" fillId="4" borderId="1" xfId="0" applyNumberFormat="1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33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33" fillId="3" borderId="1" xfId="2" applyFont="1" applyFill="1" applyBorder="1" applyAlignment="1">
      <alignment horizontal="center" vertical="center" wrapText="1"/>
    </xf>
    <xf numFmtId="2" fontId="13" fillId="3" borderId="1" xfId="2" applyNumberFormat="1" applyFont="1" applyFill="1" applyBorder="1" applyAlignment="1">
      <alignment horizontal="center" vertical="center" wrapText="1"/>
    </xf>
    <xf numFmtId="166" fontId="13" fillId="3" borderId="1" xfId="2" applyNumberFormat="1" applyFont="1" applyFill="1" applyBorder="1" applyAlignment="1">
      <alignment horizontal="center" vertical="center" wrapText="1"/>
    </xf>
    <xf numFmtId="14" fontId="13" fillId="3" borderId="1" xfId="2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28" fillId="6" borderId="1" xfId="0" applyFont="1" applyFill="1" applyBorder="1" applyAlignment="1">
      <alignment vertical="center" wrapText="1"/>
    </xf>
    <xf numFmtId="0" fontId="30" fillId="0" borderId="1" xfId="0" applyFont="1" applyBorder="1"/>
    <xf numFmtId="0" fontId="29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34" fillId="6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</cellXfs>
  <cellStyles count="5">
    <cellStyle name="Hyperlink" xfId="1" builtinId="8"/>
    <cellStyle name="Normal" xfId="0" builtinId="0"/>
    <cellStyle name="Normal 2" xfId="2"/>
    <cellStyle name="Normal 3 2" xfId="3"/>
    <cellStyle name="Normal 3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Z1189"/>
  <sheetViews>
    <sheetView tabSelected="1" topLeftCell="B1" zoomScale="90" zoomScaleNormal="90" workbookViewId="0">
      <pane xSplit="1" topLeftCell="C1" activePane="topRight" state="frozen"/>
      <selection activeCell="B1" sqref="B1"/>
      <selection pane="topRight" activeCell="E303" sqref="E303"/>
    </sheetView>
  </sheetViews>
  <sheetFormatPr defaultRowHeight="12.75" x14ac:dyDescent="0.25"/>
  <cols>
    <col min="1" max="1" width="5" style="1" hidden="1" customWidth="1"/>
    <col min="2" max="2" width="5" style="1" bestFit="1" customWidth="1"/>
    <col min="3" max="3" width="22.85546875" style="1" customWidth="1"/>
    <col min="4" max="4" width="21.5703125" style="1" customWidth="1"/>
    <col min="5" max="5" width="24.140625" style="45" bestFit="1" customWidth="1"/>
    <col min="6" max="6" width="12.85546875" style="25" customWidth="1"/>
    <col min="7" max="7" width="9.28515625" style="23" bestFit="1" customWidth="1"/>
    <col min="8" max="8" width="8.7109375" style="24" bestFit="1" customWidth="1"/>
    <col min="9" max="9" width="12" style="1" customWidth="1"/>
    <col min="10" max="10" width="24.140625" style="1" customWidth="1"/>
    <col min="11" max="11" width="18.140625" style="2" customWidth="1"/>
    <col min="12" max="253" width="18.140625" style="1" customWidth="1"/>
    <col min="254" max="16384" width="9.140625" style="1"/>
  </cols>
  <sheetData>
    <row r="1" spans="1:19" x14ac:dyDescent="0.25">
      <c r="B1" s="39" t="s">
        <v>22</v>
      </c>
      <c r="C1" s="39"/>
      <c r="D1" s="39"/>
      <c r="E1" s="39"/>
      <c r="F1" s="39"/>
      <c r="G1" s="39"/>
      <c r="H1" s="39"/>
      <c r="I1" s="39"/>
    </row>
    <row r="2" spans="1:19" ht="25.5" x14ac:dyDescent="0.25">
      <c r="B2" s="46" t="s">
        <v>2</v>
      </c>
      <c r="C2" s="47" t="s">
        <v>14</v>
      </c>
      <c r="D2" s="47" t="s">
        <v>15</v>
      </c>
      <c r="E2" s="48" t="s">
        <v>222</v>
      </c>
      <c r="F2" s="49" t="s">
        <v>16</v>
      </c>
      <c r="G2" s="50" t="s">
        <v>17</v>
      </c>
      <c r="H2" s="50"/>
      <c r="I2" s="51" t="s">
        <v>0</v>
      </c>
      <c r="J2" s="52" t="s">
        <v>1</v>
      </c>
      <c r="K2" s="2" t="s">
        <v>18</v>
      </c>
    </row>
    <row r="3" spans="1:19" ht="45" x14ac:dyDescent="0.25">
      <c r="B3" s="3">
        <v>126</v>
      </c>
      <c r="C3" s="3" t="s">
        <v>253</v>
      </c>
      <c r="D3" s="3" t="s">
        <v>1878</v>
      </c>
      <c r="E3" s="40">
        <f>283+618+135+268</f>
        <v>1304</v>
      </c>
      <c r="F3" s="4">
        <v>4564</v>
      </c>
      <c r="G3" s="3" t="s">
        <v>768</v>
      </c>
      <c r="H3" s="3" t="s">
        <v>26</v>
      </c>
      <c r="I3" s="3" t="s">
        <v>19</v>
      </c>
      <c r="J3" s="8" t="s">
        <v>21</v>
      </c>
      <c r="K3" s="3" t="s">
        <v>1879</v>
      </c>
    </row>
    <row r="4" spans="1:19" ht="45" x14ac:dyDescent="0.25">
      <c r="B4" s="3">
        <v>125</v>
      </c>
      <c r="C4" s="3" t="s">
        <v>255</v>
      </c>
      <c r="D4" s="3" t="s">
        <v>767</v>
      </c>
      <c r="E4" s="40">
        <f>241+230</f>
        <v>471</v>
      </c>
      <c r="F4" s="4">
        <v>4900</v>
      </c>
      <c r="G4" s="3" t="s">
        <v>768</v>
      </c>
      <c r="H4" s="3" t="s">
        <v>26</v>
      </c>
      <c r="I4" s="3" t="s">
        <v>19</v>
      </c>
      <c r="J4" s="8" t="s">
        <v>21</v>
      </c>
      <c r="K4" s="3" t="s">
        <v>769</v>
      </c>
    </row>
    <row r="5" spans="1:19" ht="34.5" customHeight="1" x14ac:dyDescent="0.25">
      <c r="B5" s="3">
        <v>16</v>
      </c>
      <c r="C5" s="3" t="s">
        <v>770</v>
      </c>
      <c r="D5" s="3" t="s">
        <v>771</v>
      </c>
      <c r="E5" s="41">
        <f>2732.98</f>
        <v>2732.98</v>
      </c>
      <c r="F5" s="4">
        <v>25366.48</v>
      </c>
      <c r="G5" s="3" t="s">
        <v>774</v>
      </c>
      <c r="H5" s="3" t="s">
        <v>326</v>
      </c>
      <c r="I5" s="3" t="s">
        <v>8</v>
      </c>
      <c r="J5" s="3"/>
      <c r="K5" s="3" t="s">
        <v>776</v>
      </c>
    </row>
    <row r="6" spans="1:19" x14ac:dyDescent="0.25">
      <c r="B6" s="3">
        <v>17</v>
      </c>
      <c r="C6" s="3" t="s">
        <v>770</v>
      </c>
      <c r="D6" s="3" t="s">
        <v>56</v>
      </c>
      <c r="E6" s="41">
        <f>408.48</f>
        <v>408.48</v>
      </c>
      <c r="F6" s="4">
        <v>5648.5</v>
      </c>
      <c r="G6" s="3" t="s">
        <v>774</v>
      </c>
      <c r="H6" s="3" t="s">
        <v>326</v>
      </c>
      <c r="I6" s="3" t="s">
        <v>8</v>
      </c>
      <c r="J6" s="3"/>
      <c r="K6" s="1" t="s">
        <v>777</v>
      </c>
    </row>
    <row r="7" spans="1:19" ht="168.75" x14ac:dyDescent="0.25">
      <c r="B7" s="3">
        <v>11</v>
      </c>
      <c r="C7" s="3" t="s">
        <v>772</v>
      </c>
      <c r="D7" s="12" t="s">
        <v>773</v>
      </c>
      <c r="E7" s="41">
        <v>14.5</v>
      </c>
      <c r="F7" s="4">
        <v>566.79999999999995</v>
      </c>
      <c r="G7" s="5" t="s">
        <v>775</v>
      </c>
      <c r="H7" s="24" t="s">
        <v>326</v>
      </c>
      <c r="I7" s="7" t="s">
        <v>19</v>
      </c>
      <c r="J7" s="13" t="s">
        <v>778</v>
      </c>
      <c r="K7" s="3" t="s">
        <v>779</v>
      </c>
    </row>
    <row r="8" spans="1:19" ht="45.75" x14ac:dyDescent="0.25">
      <c r="B8" s="1">
        <v>1</v>
      </c>
      <c r="C8" s="3" t="s">
        <v>23</v>
      </c>
      <c r="D8" s="3" t="s">
        <v>24</v>
      </c>
      <c r="E8" s="40">
        <f>1031.87*4</f>
        <v>4127.4799999999996</v>
      </c>
      <c r="F8" s="4">
        <v>4127.49</v>
      </c>
      <c r="G8" s="5" t="s">
        <v>25</v>
      </c>
      <c r="H8" s="6" t="s">
        <v>26</v>
      </c>
      <c r="I8" s="7" t="s">
        <v>19</v>
      </c>
      <c r="J8" s="8" t="s">
        <v>7</v>
      </c>
      <c r="K8" s="9" t="s">
        <v>67</v>
      </c>
      <c r="L8" s="3"/>
    </row>
    <row r="9" spans="1:19" ht="90" x14ac:dyDescent="0.25">
      <c r="A9" s="3"/>
      <c r="B9" s="3">
        <v>2</v>
      </c>
      <c r="C9" s="3" t="s">
        <v>32</v>
      </c>
      <c r="D9" s="3" t="s">
        <v>33</v>
      </c>
      <c r="E9" s="40">
        <f>490.54+487.69+491.69+496.68+504.67+502.82+504.47+506.22+488.39+489.86+485.39+500</f>
        <v>5948.420000000001</v>
      </c>
      <c r="F9" s="4">
        <v>6510</v>
      </c>
      <c r="G9" s="5" t="s">
        <v>25</v>
      </c>
      <c r="H9" s="6" t="s">
        <v>26</v>
      </c>
      <c r="I9" s="7" t="s">
        <v>19</v>
      </c>
      <c r="J9" s="10" t="s">
        <v>27</v>
      </c>
      <c r="K9" s="9" t="s">
        <v>66</v>
      </c>
      <c r="L9" s="3"/>
      <c r="M9" s="3"/>
      <c r="N9" s="3"/>
      <c r="O9" s="3"/>
      <c r="P9" s="3"/>
      <c r="Q9" s="3"/>
      <c r="R9" s="3"/>
      <c r="S9" s="3"/>
    </row>
    <row r="10" spans="1:19" ht="90" x14ac:dyDescent="0.25">
      <c r="A10" s="3"/>
      <c r="B10" s="3">
        <v>3</v>
      </c>
      <c r="C10" s="3" t="s">
        <v>746</v>
      </c>
      <c r="D10" s="3" t="s">
        <v>35</v>
      </c>
      <c r="E10" s="40">
        <f>2450*12</f>
        <v>29400</v>
      </c>
      <c r="F10" s="4">
        <v>29400</v>
      </c>
      <c r="G10" s="5" t="s">
        <v>25</v>
      </c>
      <c r="H10" s="6" t="s">
        <v>26</v>
      </c>
      <c r="I10" s="7" t="s">
        <v>19</v>
      </c>
      <c r="J10" s="10" t="s">
        <v>27</v>
      </c>
      <c r="K10" s="3" t="s">
        <v>68</v>
      </c>
      <c r="L10" s="3"/>
      <c r="M10" s="3"/>
      <c r="N10" s="3"/>
      <c r="O10" s="3"/>
      <c r="P10" s="3"/>
      <c r="Q10" s="3"/>
      <c r="R10" s="3"/>
      <c r="S10" s="3"/>
    </row>
    <row r="11" spans="1:19" ht="90" x14ac:dyDescent="0.25">
      <c r="A11" s="3"/>
      <c r="B11" s="1">
        <v>4</v>
      </c>
      <c r="C11" s="3" t="s">
        <v>505</v>
      </c>
      <c r="D11" s="3" t="s">
        <v>36</v>
      </c>
      <c r="E11" s="40">
        <f>176+195+195+195+195+195+195+195+195+195+195+195</f>
        <v>2321</v>
      </c>
      <c r="F11" s="4">
        <v>2321</v>
      </c>
      <c r="G11" s="5" t="s">
        <v>25</v>
      </c>
      <c r="H11" s="6" t="s">
        <v>26</v>
      </c>
      <c r="I11" s="7" t="s">
        <v>19</v>
      </c>
      <c r="J11" s="10" t="s">
        <v>27</v>
      </c>
      <c r="K11" s="3" t="s">
        <v>71</v>
      </c>
      <c r="L11" s="3"/>
      <c r="M11" s="3"/>
      <c r="N11" s="3"/>
      <c r="O11" s="3"/>
      <c r="P11" s="3"/>
      <c r="Q11" s="3"/>
      <c r="R11" s="3"/>
      <c r="S11" s="3"/>
    </row>
    <row r="12" spans="1:19" ht="90" x14ac:dyDescent="0.25">
      <c r="A12" s="3"/>
      <c r="B12" s="1">
        <v>5</v>
      </c>
      <c r="C12" s="3" t="s">
        <v>37</v>
      </c>
      <c r="D12" s="3" t="s">
        <v>6</v>
      </c>
      <c r="E12" s="40">
        <f>175.38+183.71+138.28+54.54+80.47+87.3+70.97+68.16+63.03+89.19+74.36+120</f>
        <v>1205.3899999999999</v>
      </c>
      <c r="F12" s="4">
        <v>3971</v>
      </c>
      <c r="G12" s="5" t="s">
        <v>25</v>
      </c>
      <c r="H12" s="6" t="s">
        <v>26</v>
      </c>
      <c r="I12" s="7" t="s">
        <v>19</v>
      </c>
      <c r="J12" s="10" t="s">
        <v>27</v>
      </c>
      <c r="K12" s="3" t="s">
        <v>72</v>
      </c>
      <c r="L12" s="3"/>
      <c r="M12" s="3"/>
      <c r="N12" s="3"/>
      <c r="O12" s="3"/>
      <c r="P12" s="3"/>
      <c r="Q12" s="3"/>
      <c r="R12" s="3"/>
      <c r="S12" s="3"/>
    </row>
    <row r="13" spans="1:19" ht="180" x14ac:dyDescent="0.25">
      <c r="A13" s="3"/>
      <c r="B13" s="3">
        <v>6</v>
      </c>
      <c r="C13" s="3" t="s">
        <v>38</v>
      </c>
      <c r="D13" s="3" t="s">
        <v>30</v>
      </c>
      <c r="E13" s="40">
        <f>12*4200</f>
        <v>50400</v>
      </c>
      <c r="F13" s="4">
        <v>50400</v>
      </c>
      <c r="G13" s="5" t="s">
        <v>25</v>
      </c>
      <c r="H13" s="6" t="s">
        <v>26</v>
      </c>
      <c r="I13" s="7" t="s">
        <v>19</v>
      </c>
      <c r="J13" s="11" t="s">
        <v>31</v>
      </c>
      <c r="K13" s="3" t="s">
        <v>62</v>
      </c>
      <c r="L13" s="3"/>
      <c r="M13" s="3"/>
      <c r="N13" s="3"/>
      <c r="O13" s="3"/>
      <c r="P13" s="3"/>
      <c r="Q13" s="3"/>
      <c r="R13" s="3"/>
      <c r="S13" s="3"/>
    </row>
    <row r="14" spans="1:19" ht="90" x14ac:dyDescent="0.25">
      <c r="A14" s="3"/>
      <c r="B14" s="3">
        <v>7</v>
      </c>
      <c r="C14" s="3" t="s">
        <v>39</v>
      </c>
      <c r="D14" s="3" t="s">
        <v>40</v>
      </c>
      <c r="E14" s="40">
        <f>11*1000+1250</f>
        <v>12250</v>
      </c>
      <c r="F14" s="4">
        <v>15000</v>
      </c>
      <c r="G14" s="5" t="s">
        <v>25</v>
      </c>
      <c r="H14" s="6" t="s">
        <v>26</v>
      </c>
      <c r="I14" s="7" t="s">
        <v>19</v>
      </c>
      <c r="J14" s="10" t="s">
        <v>20</v>
      </c>
      <c r="K14" s="3" t="s">
        <v>65</v>
      </c>
      <c r="L14" s="3"/>
      <c r="M14" s="3"/>
      <c r="N14" s="3"/>
      <c r="O14" s="3"/>
      <c r="P14" s="3"/>
      <c r="Q14" s="3"/>
      <c r="R14" s="3"/>
      <c r="S14" s="3"/>
    </row>
    <row r="15" spans="1:19" ht="45" x14ac:dyDescent="0.25">
      <c r="A15" s="3"/>
      <c r="B15" s="1">
        <v>8</v>
      </c>
      <c r="C15" s="3" t="s">
        <v>41</v>
      </c>
      <c r="D15" s="3" t="s">
        <v>42</v>
      </c>
      <c r="E15" s="40" t="s">
        <v>907</v>
      </c>
      <c r="F15" s="4">
        <v>2112</v>
      </c>
      <c r="G15" s="5" t="s">
        <v>25</v>
      </c>
      <c r="H15" s="6" t="s">
        <v>26</v>
      </c>
      <c r="I15" s="7" t="s">
        <v>19</v>
      </c>
      <c r="J15" s="8" t="s">
        <v>29</v>
      </c>
      <c r="K15" s="3" t="s">
        <v>64</v>
      </c>
      <c r="L15" s="3"/>
      <c r="M15" s="3"/>
      <c r="N15" s="3"/>
      <c r="O15" s="3"/>
      <c r="P15" s="3"/>
      <c r="Q15" s="3"/>
      <c r="R15" s="3"/>
      <c r="S15" s="3"/>
    </row>
    <row r="16" spans="1:19" ht="45.75" x14ac:dyDescent="0.25">
      <c r="A16" s="3"/>
      <c r="B16" s="1">
        <v>9</v>
      </c>
      <c r="C16" s="3" t="s">
        <v>43</v>
      </c>
      <c r="D16" s="3" t="s">
        <v>44</v>
      </c>
      <c r="E16" s="41">
        <f>50*12</f>
        <v>600</v>
      </c>
      <c r="F16" s="4">
        <v>600</v>
      </c>
      <c r="G16" s="5" t="s">
        <v>25</v>
      </c>
      <c r="H16" s="6" t="s">
        <v>26</v>
      </c>
      <c r="I16" s="7" t="s">
        <v>19</v>
      </c>
      <c r="J16" s="8" t="s">
        <v>7</v>
      </c>
      <c r="K16" s="3" t="s">
        <v>70</v>
      </c>
      <c r="L16" s="3"/>
      <c r="M16" s="3"/>
      <c r="N16" s="3"/>
      <c r="O16" s="3"/>
      <c r="P16" s="3"/>
      <c r="Q16" s="3"/>
      <c r="R16" s="3"/>
      <c r="S16" s="3"/>
    </row>
    <row r="17" spans="1:19" s="20" customFormat="1" ht="45.75" x14ac:dyDescent="0.25">
      <c r="B17" s="20">
        <v>10</v>
      </c>
      <c r="C17" s="20" t="s">
        <v>45</v>
      </c>
      <c r="D17" s="20" t="s">
        <v>46</v>
      </c>
      <c r="E17" s="42"/>
      <c r="F17" s="33">
        <v>1200</v>
      </c>
      <c r="G17" s="34" t="s">
        <v>25</v>
      </c>
      <c r="H17" s="35" t="s">
        <v>26</v>
      </c>
      <c r="I17" s="36" t="s">
        <v>19</v>
      </c>
      <c r="J17" s="37" t="s">
        <v>2619</v>
      </c>
      <c r="K17" s="20" t="s">
        <v>63</v>
      </c>
    </row>
    <row r="18" spans="1:19" ht="45.75" x14ac:dyDescent="0.25">
      <c r="A18" s="3"/>
      <c r="B18" s="3">
        <v>11</v>
      </c>
      <c r="C18" s="3" t="s">
        <v>47</v>
      </c>
      <c r="D18" s="12" t="s">
        <v>48</v>
      </c>
      <c r="E18" s="40">
        <f>80*9+79.46+79.53+80</f>
        <v>958.99</v>
      </c>
      <c r="F18" s="4">
        <v>960</v>
      </c>
      <c r="G18" s="5" t="s">
        <v>25</v>
      </c>
      <c r="H18" s="6" t="s">
        <v>26</v>
      </c>
      <c r="I18" s="7" t="s">
        <v>19</v>
      </c>
      <c r="J18" s="8" t="s">
        <v>7</v>
      </c>
      <c r="K18" s="3" t="s">
        <v>61</v>
      </c>
      <c r="L18" s="3"/>
      <c r="M18" s="3"/>
      <c r="N18" s="3"/>
      <c r="O18" s="3"/>
      <c r="P18" s="3"/>
      <c r="Q18" s="3"/>
      <c r="R18" s="3"/>
      <c r="S18" s="3"/>
    </row>
    <row r="19" spans="1:19" ht="45.75" x14ac:dyDescent="0.25">
      <c r="A19" s="3"/>
      <c r="B19" s="1">
        <v>12</v>
      </c>
      <c r="C19" s="3" t="s">
        <v>49</v>
      </c>
      <c r="D19" s="3" t="s">
        <v>50</v>
      </c>
      <c r="E19" s="40">
        <f>12*120</f>
        <v>1440</v>
      </c>
      <c r="F19" s="4">
        <v>1440</v>
      </c>
      <c r="G19" s="5" t="s">
        <v>25</v>
      </c>
      <c r="H19" s="6" t="s">
        <v>26</v>
      </c>
      <c r="I19" s="7" t="s">
        <v>19</v>
      </c>
      <c r="J19" s="8" t="s">
        <v>7</v>
      </c>
      <c r="K19" s="3" t="s">
        <v>69</v>
      </c>
      <c r="L19" s="3"/>
      <c r="M19" s="3"/>
      <c r="N19" s="3"/>
      <c r="O19" s="3"/>
      <c r="P19" s="3"/>
      <c r="Q19" s="3"/>
      <c r="R19" s="3"/>
      <c r="S19" s="3"/>
    </row>
    <row r="20" spans="1:19" ht="45.75" x14ac:dyDescent="0.25">
      <c r="A20" s="3"/>
      <c r="B20" s="1">
        <v>13</v>
      </c>
      <c r="C20" s="3" t="s">
        <v>51</v>
      </c>
      <c r="D20" s="3" t="s">
        <v>52</v>
      </c>
      <c r="E20" s="40">
        <f>12*130</f>
        <v>1560</v>
      </c>
      <c r="F20" s="4">
        <v>1560</v>
      </c>
      <c r="G20" s="5" t="s">
        <v>25</v>
      </c>
      <c r="H20" s="6" t="s">
        <v>26</v>
      </c>
      <c r="I20" s="7" t="s">
        <v>19</v>
      </c>
      <c r="J20" s="8" t="s">
        <v>7</v>
      </c>
      <c r="K20" s="3" t="s">
        <v>379</v>
      </c>
      <c r="L20" s="3"/>
      <c r="M20" s="3"/>
      <c r="N20" s="3"/>
      <c r="O20" s="3"/>
      <c r="P20" s="3"/>
      <c r="Q20" s="3"/>
      <c r="R20" s="3"/>
      <c r="S20" s="3"/>
    </row>
    <row r="21" spans="1:19" ht="90" x14ac:dyDescent="0.25">
      <c r="A21" s="3"/>
      <c r="B21" s="3">
        <v>14</v>
      </c>
      <c r="C21" s="3" t="s">
        <v>47</v>
      </c>
      <c r="D21" s="3" t="s">
        <v>35</v>
      </c>
      <c r="E21" s="40">
        <f>415.75+283.12+295.3+300</f>
        <v>1294.17</v>
      </c>
      <c r="F21" s="4">
        <v>1400</v>
      </c>
      <c r="G21" s="3" t="s">
        <v>25</v>
      </c>
      <c r="H21" s="6" t="s">
        <v>26</v>
      </c>
      <c r="I21" s="7" t="s">
        <v>19</v>
      </c>
      <c r="J21" s="10" t="s">
        <v>27</v>
      </c>
      <c r="K21" s="14" t="s">
        <v>73</v>
      </c>
      <c r="L21" s="3"/>
      <c r="M21" s="3"/>
      <c r="N21" s="3"/>
      <c r="O21" s="3"/>
      <c r="P21" s="3"/>
      <c r="Q21" s="3"/>
      <c r="R21" s="3"/>
      <c r="S21" s="3"/>
    </row>
    <row r="22" spans="1:19" ht="168.75" x14ac:dyDescent="0.25">
      <c r="A22" s="3"/>
      <c r="B22" s="3">
        <v>15</v>
      </c>
      <c r="C22" s="3" t="s">
        <v>53</v>
      </c>
      <c r="D22" s="3" t="s">
        <v>54</v>
      </c>
      <c r="E22" s="40">
        <f>12*70.8</f>
        <v>849.59999999999991</v>
      </c>
      <c r="F22" s="4">
        <v>900</v>
      </c>
      <c r="G22" s="3" t="s">
        <v>25</v>
      </c>
      <c r="H22" s="3" t="s">
        <v>26</v>
      </c>
      <c r="I22" s="7" t="s">
        <v>19</v>
      </c>
      <c r="J22" s="8" t="s">
        <v>28</v>
      </c>
      <c r="K22" s="3" t="s">
        <v>76</v>
      </c>
      <c r="L22" s="3"/>
      <c r="M22" s="3"/>
      <c r="N22" s="3"/>
      <c r="O22" s="3"/>
      <c r="P22" s="3"/>
      <c r="Q22" s="3"/>
      <c r="R22" s="3"/>
      <c r="S22" s="3"/>
    </row>
    <row r="23" spans="1:19" ht="22.5" x14ac:dyDescent="0.25">
      <c r="A23" s="3"/>
      <c r="B23" s="1">
        <v>16</v>
      </c>
      <c r="C23" s="3" t="s">
        <v>55</v>
      </c>
      <c r="D23" s="3" t="s">
        <v>56</v>
      </c>
      <c r="E23" s="40">
        <f>516.23+613.48+578.2+715.5+762.87+520.38+735.9+646.72+576.74+619.93+602.88</f>
        <v>6888.83</v>
      </c>
      <c r="F23" s="4">
        <v>8340</v>
      </c>
      <c r="G23" s="3" t="s">
        <v>57</v>
      </c>
      <c r="H23" s="3" t="s">
        <v>26</v>
      </c>
      <c r="I23" s="3" t="s">
        <v>8</v>
      </c>
      <c r="J23" s="3"/>
      <c r="K23" s="3" t="s">
        <v>74</v>
      </c>
      <c r="L23" s="3"/>
      <c r="M23" s="3"/>
      <c r="N23" s="3"/>
      <c r="O23" s="3"/>
      <c r="P23" s="3"/>
      <c r="Q23" s="3"/>
      <c r="R23" s="3"/>
      <c r="S23" s="3"/>
    </row>
    <row r="24" spans="1:19" ht="22.5" x14ac:dyDescent="0.25">
      <c r="A24" s="3"/>
      <c r="B24" s="1">
        <v>17</v>
      </c>
      <c r="C24" s="3" t="s">
        <v>55</v>
      </c>
      <c r="D24" s="3" t="s">
        <v>58</v>
      </c>
      <c r="E24" s="40">
        <f>1636.88+2574.77+2144.81+2254.57+2698.22+2866.01+2499.8+2499.8+2248.54+2785.64+2513.15+2206.08</f>
        <v>28928.269999999997</v>
      </c>
      <c r="F24" s="4">
        <v>30292</v>
      </c>
      <c r="G24" s="3" t="s">
        <v>57</v>
      </c>
      <c r="H24" s="3" t="s">
        <v>26</v>
      </c>
      <c r="I24" s="3" t="s">
        <v>8</v>
      </c>
      <c r="J24" s="3"/>
      <c r="K24" s="3" t="s">
        <v>75</v>
      </c>
      <c r="L24" s="3"/>
      <c r="M24" s="3"/>
      <c r="N24" s="3"/>
      <c r="O24" s="3"/>
      <c r="P24" s="3"/>
      <c r="Q24" s="3"/>
      <c r="R24" s="3"/>
      <c r="S24" s="3"/>
    </row>
    <row r="25" spans="1:19" s="3" customFormat="1" ht="45.75" x14ac:dyDescent="0.25">
      <c r="B25" s="3">
        <v>18</v>
      </c>
      <c r="C25" s="3" t="s">
        <v>38</v>
      </c>
      <c r="D25" s="3" t="s">
        <v>59</v>
      </c>
      <c r="E25" s="40">
        <f>295.95+145+145+145</f>
        <v>730.95</v>
      </c>
      <c r="F25" s="4">
        <v>740.3</v>
      </c>
      <c r="G25" s="3" t="s">
        <v>57</v>
      </c>
      <c r="H25" s="3" t="s">
        <v>60</v>
      </c>
      <c r="I25" s="3" t="s">
        <v>19</v>
      </c>
      <c r="J25" s="8" t="s">
        <v>7</v>
      </c>
      <c r="K25" s="3" t="s">
        <v>77</v>
      </c>
    </row>
    <row r="26" spans="1:19" ht="45" x14ac:dyDescent="0.25">
      <c r="A26" s="3"/>
      <c r="B26" s="3">
        <v>19</v>
      </c>
      <c r="C26" s="3" t="s">
        <v>78</v>
      </c>
      <c r="D26" s="3" t="s">
        <v>79</v>
      </c>
      <c r="E26" s="40" t="s">
        <v>363</v>
      </c>
      <c r="F26" s="4">
        <v>15</v>
      </c>
      <c r="G26" s="3" t="s">
        <v>80</v>
      </c>
      <c r="H26" s="3" t="s">
        <v>81</v>
      </c>
      <c r="I26" s="3" t="s">
        <v>19</v>
      </c>
      <c r="J26" s="8" t="s">
        <v>3</v>
      </c>
      <c r="K26" s="3" t="s">
        <v>183</v>
      </c>
      <c r="L26" s="3"/>
      <c r="M26" s="3"/>
      <c r="N26" s="3"/>
      <c r="O26" s="3"/>
      <c r="P26" s="3"/>
      <c r="Q26" s="3"/>
      <c r="R26" s="3"/>
      <c r="S26" s="3"/>
    </row>
    <row r="27" spans="1:19" ht="45" x14ac:dyDescent="0.25">
      <c r="A27" s="3"/>
      <c r="B27" s="1">
        <v>20</v>
      </c>
      <c r="C27" s="3" t="s">
        <v>82</v>
      </c>
      <c r="D27" s="3" t="s">
        <v>83</v>
      </c>
      <c r="E27" s="40">
        <v>1875</v>
      </c>
      <c r="F27" s="4">
        <v>1875</v>
      </c>
      <c r="G27" s="3" t="s">
        <v>80</v>
      </c>
      <c r="H27" s="3" t="s">
        <v>81</v>
      </c>
      <c r="I27" s="3" t="s">
        <v>19</v>
      </c>
      <c r="J27" s="8" t="s">
        <v>3</v>
      </c>
      <c r="K27" s="3" t="s">
        <v>143</v>
      </c>
      <c r="L27" s="3"/>
      <c r="M27" s="3"/>
      <c r="N27" s="3"/>
      <c r="O27" s="3"/>
      <c r="P27" s="3"/>
      <c r="Q27" s="3"/>
      <c r="R27" s="3"/>
      <c r="S27" s="3"/>
    </row>
    <row r="28" spans="1:19" ht="45" x14ac:dyDescent="0.25">
      <c r="A28" s="3"/>
      <c r="B28" s="1">
        <v>21</v>
      </c>
      <c r="C28" s="3" t="s">
        <v>84</v>
      </c>
      <c r="D28" s="3" t="s">
        <v>85</v>
      </c>
      <c r="E28" s="40" t="s">
        <v>380</v>
      </c>
      <c r="F28" s="4">
        <v>2824</v>
      </c>
      <c r="G28" s="3" t="s">
        <v>80</v>
      </c>
      <c r="H28" s="3" t="s">
        <v>81</v>
      </c>
      <c r="I28" s="3" t="s">
        <v>19</v>
      </c>
      <c r="J28" s="8" t="s">
        <v>3</v>
      </c>
      <c r="K28" s="3" t="s">
        <v>191</v>
      </c>
      <c r="L28" s="3"/>
      <c r="M28" s="3"/>
      <c r="N28" s="3"/>
      <c r="O28" s="3"/>
      <c r="P28" s="3"/>
      <c r="Q28" s="3"/>
      <c r="R28" s="3"/>
      <c r="S28" s="3"/>
    </row>
    <row r="29" spans="1:19" ht="45" x14ac:dyDescent="0.25">
      <c r="A29" s="3"/>
      <c r="B29" s="3">
        <v>22</v>
      </c>
      <c r="C29" s="3" t="s">
        <v>86</v>
      </c>
      <c r="D29" s="3" t="s">
        <v>87</v>
      </c>
      <c r="E29" s="40" t="s">
        <v>381</v>
      </c>
      <c r="F29" s="4">
        <v>2300</v>
      </c>
      <c r="G29" s="3" t="s">
        <v>80</v>
      </c>
      <c r="H29" s="3" t="s">
        <v>81</v>
      </c>
      <c r="I29" s="3" t="s">
        <v>19</v>
      </c>
      <c r="J29" s="8" t="s">
        <v>3</v>
      </c>
      <c r="K29" s="3" t="s">
        <v>198</v>
      </c>
      <c r="L29" s="3"/>
      <c r="M29" s="3"/>
      <c r="N29" s="3"/>
      <c r="O29" s="3"/>
      <c r="P29" s="3"/>
      <c r="Q29" s="3"/>
      <c r="R29" s="3"/>
      <c r="S29" s="3"/>
    </row>
    <row r="30" spans="1:19" ht="45" x14ac:dyDescent="0.25">
      <c r="A30" s="3"/>
      <c r="B30" s="3">
        <v>23</v>
      </c>
      <c r="C30" s="3" t="s">
        <v>88</v>
      </c>
      <c r="D30" s="3" t="s">
        <v>89</v>
      </c>
      <c r="E30" s="40" t="s">
        <v>225</v>
      </c>
      <c r="F30" s="4">
        <v>180</v>
      </c>
      <c r="G30" s="3" t="s">
        <v>80</v>
      </c>
      <c r="H30" s="3" t="s">
        <v>81</v>
      </c>
      <c r="I30" s="3" t="s">
        <v>19</v>
      </c>
      <c r="J30" s="8" t="s">
        <v>3</v>
      </c>
      <c r="K30" s="3" t="s">
        <v>202</v>
      </c>
      <c r="L30" s="3"/>
      <c r="M30" s="3"/>
      <c r="N30" s="3"/>
      <c r="O30" s="3"/>
      <c r="P30" s="3"/>
      <c r="Q30" s="3"/>
      <c r="R30" s="3"/>
      <c r="S30" s="3"/>
    </row>
    <row r="31" spans="1:19" ht="45" x14ac:dyDescent="0.25">
      <c r="A31" s="3"/>
      <c r="B31" s="1">
        <v>24</v>
      </c>
      <c r="C31" s="3" t="s">
        <v>90</v>
      </c>
      <c r="D31" s="3" t="s">
        <v>85</v>
      </c>
      <c r="E31" s="40">
        <v>1044.9000000000001</v>
      </c>
      <c r="F31" s="4">
        <v>1075</v>
      </c>
      <c r="G31" s="3" t="s">
        <v>80</v>
      </c>
      <c r="H31" s="3" t="s">
        <v>81</v>
      </c>
      <c r="I31" s="3" t="s">
        <v>19</v>
      </c>
      <c r="J31" s="8" t="s">
        <v>3</v>
      </c>
      <c r="K31" s="3" t="s">
        <v>185</v>
      </c>
      <c r="L31" s="3"/>
      <c r="M31" s="3"/>
      <c r="N31" s="3"/>
      <c r="O31" s="3"/>
      <c r="P31" s="3"/>
      <c r="Q31" s="3"/>
      <c r="R31" s="3"/>
      <c r="S31" s="3"/>
    </row>
    <row r="32" spans="1:19" ht="45" x14ac:dyDescent="0.25">
      <c r="A32" s="3"/>
      <c r="B32" s="1">
        <v>25</v>
      </c>
      <c r="C32" s="3" t="s">
        <v>91</v>
      </c>
      <c r="D32" s="3" t="s">
        <v>89</v>
      </c>
      <c r="E32" s="40" t="s">
        <v>226</v>
      </c>
      <c r="F32" s="4">
        <v>150</v>
      </c>
      <c r="G32" s="3" t="s">
        <v>80</v>
      </c>
      <c r="H32" s="3" t="s">
        <v>81</v>
      </c>
      <c r="I32" s="3" t="s">
        <v>19</v>
      </c>
      <c r="J32" s="8" t="s">
        <v>3</v>
      </c>
      <c r="K32" s="3" t="s">
        <v>176</v>
      </c>
      <c r="L32" s="3"/>
      <c r="M32" s="3"/>
      <c r="N32" s="3"/>
      <c r="O32" s="3"/>
      <c r="P32" s="3"/>
      <c r="Q32" s="3"/>
      <c r="R32" s="3"/>
      <c r="S32" s="3"/>
    </row>
    <row r="33" spans="1:19" ht="45" x14ac:dyDescent="0.25">
      <c r="A33" s="3"/>
      <c r="B33" s="3">
        <v>26</v>
      </c>
      <c r="C33" s="3" t="s">
        <v>90</v>
      </c>
      <c r="D33" s="3" t="s">
        <v>89</v>
      </c>
      <c r="E33" s="40">
        <v>180</v>
      </c>
      <c r="F33" s="4">
        <v>180</v>
      </c>
      <c r="G33" s="3" t="s">
        <v>80</v>
      </c>
      <c r="H33" s="3" t="s">
        <v>81</v>
      </c>
      <c r="I33" s="3" t="s">
        <v>19</v>
      </c>
      <c r="J33" s="8" t="s">
        <v>3</v>
      </c>
      <c r="K33" s="3" t="s">
        <v>184</v>
      </c>
      <c r="L33" s="3"/>
      <c r="M33" s="3"/>
      <c r="N33" s="3"/>
      <c r="O33" s="3"/>
      <c r="P33" s="3"/>
      <c r="Q33" s="3"/>
      <c r="R33" s="3"/>
      <c r="S33" s="3"/>
    </row>
    <row r="34" spans="1:19" ht="45" x14ac:dyDescent="0.25">
      <c r="A34" s="3"/>
      <c r="B34" s="3">
        <v>27</v>
      </c>
      <c r="C34" s="3" t="s">
        <v>92</v>
      </c>
      <c r="D34" s="3" t="s">
        <v>89</v>
      </c>
      <c r="E34" s="40">
        <v>314.32</v>
      </c>
      <c r="F34" s="4">
        <v>330</v>
      </c>
      <c r="G34" s="3" t="s">
        <v>80</v>
      </c>
      <c r="H34" s="3" t="s">
        <v>81</v>
      </c>
      <c r="I34" s="3" t="s">
        <v>19</v>
      </c>
      <c r="J34" s="8" t="s">
        <v>3</v>
      </c>
      <c r="K34" s="3" t="s">
        <v>189</v>
      </c>
      <c r="L34" s="3"/>
      <c r="M34" s="3"/>
      <c r="N34" s="3"/>
      <c r="O34" s="3"/>
      <c r="P34" s="3"/>
      <c r="Q34" s="3"/>
      <c r="R34" s="3"/>
      <c r="S34" s="3"/>
    </row>
    <row r="35" spans="1:19" ht="45" x14ac:dyDescent="0.25">
      <c r="A35" s="3"/>
      <c r="B35" s="1">
        <v>28</v>
      </c>
      <c r="C35" s="3" t="s">
        <v>93</v>
      </c>
      <c r="D35" s="3" t="s">
        <v>85</v>
      </c>
      <c r="E35" s="40" t="s">
        <v>382</v>
      </c>
      <c r="F35" s="4">
        <v>1142.8</v>
      </c>
      <c r="G35" s="3" t="s">
        <v>80</v>
      </c>
      <c r="H35" s="3" t="s">
        <v>81</v>
      </c>
      <c r="I35" s="3" t="s">
        <v>19</v>
      </c>
      <c r="J35" s="8" t="s">
        <v>3</v>
      </c>
      <c r="K35" s="3" t="s">
        <v>217</v>
      </c>
      <c r="L35" s="3"/>
      <c r="M35" s="3"/>
      <c r="N35" s="3"/>
      <c r="O35" s="3"/>
      <c r="P35" s="3"/>
      <c r="Q35" s="3"/>
      <c r="R35" s="3"/>
      <c r="S35" s="3"/>
    </row>
    <row r="36" spans="1:19" ht="45" x14ac:dyDescent="0.25">
      <c r="A36" s="3"/>
      <c r="B36" s="1">
        <v>29</v>
      </c>
      <c r="C36" s="3" t="s">
        <v>94</v>
      </c>
      <c r="D36" s="3" t="s">
        <v>89</v>
      </c>
      <c r="E36" s="40">
        <v>148.5</v>
      </c>
      <c r="F36" s="4">
        <v>150</v>
      </c>
      <c r="G36" s="3" t="s">
        <v>80</v>
      </c>
      <c r="H36" s="3" t="s">
        <v>81</v>
      </c>
      <c r="I36" s="3" t="s">
        <v>19</v>
      </c>
      <c r="J36" s="8" t="s">
        <v>3</v>
      </c>
      <c r="K36" s="3" t="s">
        <v>197</v>
      </c>
      <c r="L36" s="3"/>
      <c r="M36" s="3"/>
      <c r="N36" s="3"/>
      <c r="O36" s="3"/>
      <c r="P36" s="3"/>
      <c r="Q36" s="3"/>
      <c r="R36" s="3"/>
      <c r="S36" s="3"/>
    </row>
    <row r="37" spans="1:19" ht="45" x14ac:dyDescent="0.25">
      <c r="A37" s="3"/>
      <c r="B37" s="3">
        <v>31</v>
      </c>
      <c r="C37" s="3" t="s">
        <v>95</v>
      </c>
      <c r="D37" s="3" t="s">
        <v>89</v>
      </c>
      <c r="E37" s="40">
        <f>180</f>
        <v>180</v>
      </c>
      <c r="F37" s="4">
        <v>180</v>
      </c>
      <c r="G37" s="3" t="s">
        <v>80</v>
      </c>
      <c r="H37" s="3" t="s">
        <v>81</v>
      </c>
      <c r="I37" s="3" t="s">
        <v>19</v>
      </c>
      <c r="J37" s="8" t="s">
        <v>3</v>
      </c>
      <c r="K37" s="3" t="s">
        <v>182</v>
      </c>
      <c r="L37" s="3"/>
      <c r="M37" s="3"/>
      <c r="N37" s="3"/>
      <c r="O37" s="3"/>
      <c r="P37" s="3"/>
      <c r="Q37" s="3"/>
      <c r="R37" s="3"/>
      <c r="S37" s="3"/>
    </row>
    <row r="38" spans="1:19" s="15" customFormat="1" ht="45" x14ac:dyDescent="0.25">
      <c r="A38" s="3"/>
      <c r="B38" s="1">
        <v>32</v>
      </c>
      <c r="C38" s="3" t="s">
        <v>96</v>
      </c>
      <c r="D38" s="3" t="s">
        <v>89</v>
      </c>
      <c r="E38" s="40" t="s">
        <v>227</v>
      </c>
      <c r="F38" s="4">
        <v>150</v>
      </c>
      <c r="G38" s="3" t="s">
        <v>80</v>
      </c>
      <c r="H38" s="3" t="s">
        <v>81</v>
      </c>
      <c r="I38" s="3" t="s">
        <v>19</v>
      </c>
      <c r="J38" s="8" t="s">
        <v>3</v>
      </c>
      <c r="K38" s="3" t="s">
        <v>200</v>
      </c>
      <c r="L38" s="3"/>
      <c r="M38" s="3"/>
      <c r="N38" s="3"/>
      <c r="O38" s="3"/>
      <c r="P38" s="3"/>
      <c r="Q38" s="3"/>
      <c r="R38" s="3"/>
      <c r="S38" s="3"/>
    </row>
    <row r="39" spans="1:19" ht="45" x14ac:dyDescent="0.25">
      <c r="A39" s="3"/>
      <c r="B39" s="1">
        <v>33</v>
      </c>
      <c r="C39" s="3" t="s">
        <v>96</v>
      </c>
      <c r="D39" s="3" t="s">
        <v>79</v>
      </c>
      <c r="E39" s="40" t="s">
        <v>430</v>
      </c>
      <c r="F39" s="4">
        <v>108</v>
      </c>
      <c r="G39" s="3" t="s">
        <v>80</v>
      </c>
      <c r="H39" s="3" t="s">
        <v>81</v>
      </c>
      <c r="I39" s="3" t="s">
        <v>19</v>
      </c>
      <c r="J39" s="8" t="s">
        <v>3</v>
      </c>
      <c r="K39" s="3" t="s">
        <v>199</v>
      </c>
      <c r="L39" s="3"/>
      <c r="M39" s="3"/>
      <c r="N39" s="3"/>
      <c r="O39" s="3"/>
      <c r="P39" s="3"/>
      <c r="Q39" s="3"/>
      <c r="R39" s="3"/>
      <c r="S39" s="3"/>
    </row>
    <row r="40" spans="1:19" ht="45" x14ac:dyDescent="0.25">
      <c r="A40" s="3"/>
      <c r="B40" s="3">
        <v>34</v>
      </c>
      <c r="C40" s="3" t="s">
        <v>103</v>
      </c>
      <c r="D40" s="3" t="s">
        <v>104</v>
      </c>
      <c r="E40" s="40">
        <v>2157</v>
      </c>
      <c r="F40" s="4">
        <v>2157</v>
      </c>
      <c r="G40" s="3" t="s">
        <v>80</v>
      </c>
      <c r="H40" s="3" t="s">
        <v>81</v>
      </c>
      <c r="I40" s="3" t="s">
        <v>19</v>
      </c>
      <c r="J40" s="8" t="s">
        <v>3</v>
      </c>
      <c r="K40" s="3" t="s">
        <v>190</v>
      </c>
      <c r="L40" s="3"/>
      <c r="M40" s="3"/>
      <c r="N40" s="3"/>
      <c r="O40" s="3"/>
      <c r="P40" s="3"/>
      <c r="Q40" s="3"/>
      <c r="R40" s="3"/>
      <c r="S40" s="3"/>
    </row>
    <row r="41" spans="1:19" ht="45" x14ac:dyDescent="0.25">
      <c r="A41" s="3"/>
      <c r="B41" s="3">
        <v>35</v>
      </c>
      <c r="C41" s="3" t="s">
        <v>97</v>
      </c>
      <c r="D41" s="3" t="s">
        <v>98</v>
      </c>
      <c r="E41" s="40">
        <v>500</v>
      </c>
      <c r="F41" s="4">
        <v>500</v>
      </c>
      <c r="G41" s="3" t="s">
        <v>99</v>
      </c>
      <c r="H41" s="3" t="s">
        <v>81</v>
      </c>
      <c r="I41" s="3" t="s">
        <v>19</v>
      </c>
      <c r="J41" s="8" t="s">
        <v>3</v>
      </c>
      <c r="K41" s="3" t="s">
        <v>177</v>
      </c>
      <c r="L41" s="3"/>
      <c r="M41" s="3"/>
      <c r="N41" s="3"/>
      <c r="O41" s="3"/>
      <c r="P41" s="3"/>
      <c r="Q41" s="3"/>
      <c r="R41" s="3"/>
      <c r="S41" s="3"/>
    </row>
    <row r="42" spans="1:19" ht="90" x14ac:dyDescent="0.25">
      <c r="A42" s="3"/>
      <c r="B42" s="1">
        <v>36</v>
      </c>
      <c r="C42" s="3" t="s">
        <v>105</v>
      </c>
      <c r="D42" s="3" t="s">
        <v>106</v>
      </c>
      <c r="E42" s="40">
        <v>165000</v>
      </c>
      <c r="F42" s="4">
        <v>165000</v>
      </c>
      <c r="G42" s="3" t="s">
        <v>99</v>
      </c>
      <c r="H42" s="3" t="s">
        <v>81</v>
      </c>
      <c r="I42" s="3" t="s">
        <v>19</v>
      </c>
      <c r="J42" s="10" t="s">
        <v>100</v>
      </c>
      <c r="K42" s="3" t="s">
        <v>149</v>
      </c>
      <c r="L42" s="3"/>
      <c r="M42" s="3"/>
      <c r="N42" s="3"/>
      <c r="O42" s="3"/>
      <c r="P42" s="3"/>
      <c r="Q42" s="3"/>
      <c r="R42" s="3"/>
      <c r="S42" s="3"/>
    </row>
    <row r="43" spans="1:19" ht="45" x14ac:dyDescent="0.25">
      <c r="A43" s="3"/>
      <c r="B43" s="1">
        <v>37</v>
      </c>
      <c r="C43" s="12" t="s">
        <v>107</v>
      </c>
      <c r="D43" s="3" t="s">
        <v>108</v>
      </c>
      <c r="E43" s="40" t="s">
        <v>224</v>
      </c>
      <c r="F43" s="4">
        <v>141.80000000000001</v>
      </c>
      <c r="G43" s="3" t="s">
        <v>109</v>
      </c>
      <c r="H43" s="3" t="s">
        <v>81</v>
      </c>
      <c r="I43" s="3" t="s">
        <v>19</v>
      </c>
      <c r="J43" s="10" t="s">
        <v>11</v>
      </c>
      <c r="K43" s="3" t="s">
        <v>154</v>
      </c>
      <c r="L43" s="3"/>
      <c r="M43" s="3"/>
      <c r="N43" s="3"/>
      <c r="O43" s="3"/>
      <c r="P43" s="3"/>
      <c r="Q43" s="3"/>
      <c r="R43" s="3"/>
      <c r="S43" s="3"/>
    </row>
    <row r="44" spans="1:19" ht="45" x14ac:dyDescent="0.25">
      <c r="A44" s="3"/>
      <c r="B44" s="3">
        <v>38</v>
      </c>
      <c r="C44" s="3" t="s">
        <v>110</v>
      </c>
      <c r="D44" s="3" t="s">
        <v>102</v>
      </c>
      <c r="E44" s="40" t="s">
        <v>383</v>
      </c>
      <c r="F44" s="4">
        <v>27140</v>
      </c>
      <c r="G44" s="3" t="s">
        <v>109</v>
      </c>
      <c r="H44" s="3" t="s">
        <v>81</v>
      </c>
      <c r="I44" s="3" t="s">
        <v>19</v>
      </c>
      <c r="J44" s="8" t="s">
        <v>13</v>
      </c>
      <c r="K44" s="3" t="s">
        <v>142</v>
      </c>
      <c r="L44" s="3"/>
      <c r="M44" s="3"/>
      <c r="N44" s="3"/>
      <c r="O44" s="3"/>
      <c r="P44" s="3"/>
      <c r="Q44" s="3"/>
      <c r="R44" s="3"/>
      <c r="S44" s="3"/>
    </row>
    <row r="45" spans="1:19" ht="45" x14ac:dyDescent="0.25">
      <c r="A45" s="3"/>
      <c r="B45" s="3">
        <v>39</v>
      </c>
      <c r="C45" s="3" t="s">
        <v>111</v>
      </c>
      <c r="D45" s="3" t="s">
        <v>79</v>
      </c>
      <c r="E45" s="40">
        <f>40+30+20+50+15+15+5+15+5+35+35+35+45+35+35+55+25+15+30+5+30+60</f>
        <v>635</v>
      </c>
      <c r="F45" s="4">
        <v>1000</v>
      </c>
      <c r="G45" s="3" t="s">
        <v>109</v>
      </c>
      <c r="H45" s="3" t="s">
        <v>26</v>
      </c>
      <c r="I45" s="3" t="s">
        <v>19</v>
      </c>
      <c r="J45" s="8" t="s">
        <v>13</v>
      </c>
      <c r="K45" s="3" t="s">
        <v>140</v>
      </c>
      <c r="L45" s="3"/>
      <c r="M45" s="3"/>
      <c r="N45" s="3"/>
      <c r="O45" s="3"/>
      <c r="P45" s="3"/>
      <c r="Q45" s="3"/>
      <c r="R45" s="3"/>
      <c r="S45" s="3"/>
    </row>
    <row r="46" spans="1:19" ht="45" x14ac:dyDescent="0.25">
      <c r="A46" s="3"/>
      <c r="B46" s="1">
        <v>40</v>
      </c>
      <c r="C46" s="3" t="s">
        <v>96</v>
      </c>
      <c r="D46" s="3" t="s">
        <v>79</v>
      </c>
      <c r="E46" s="40">
        <f>315+63+40.5+324+441+288+144+72+63+108</f>
        <v>1858.5</v>
      </c>
      <c r="F46" s="4">
        <v>2000</v>
      </c>
      <c r="G46" s="3" t="s">
        <v>109</v>
      </c>
      <c r="H46" s="3" t="s">
        <v>26</v>
      </c>
      <c r="I46" s="3" t="s">
        <v>19</v>
      </c>
      <c r="J46" s="8" t="s">
        <v>13</v>
      </c>
      <c r="K46" s="3" t="s">
        <v>186</v>
      </c>
      <c r="L46" s="3"/>
      <c r="M46" s="3"/>
      <c r="N46" s="3"/>
      <c r="O46" s="3"/>
      <c r="P46" s="3"/>
      <c r="Q46" s="3"/>
      <c r="R46" s="3"/>
      <c r="S46" s="3"/>
    </row>
    <row r="47" spans="1:19" ht="45" x14ac:dyDescent="0.25">
      <c r="A47" s="3"/>
      <c r="B47" s="1">
        <v>41</v>
      </c>
      <c r="C47" s="3" t="s">
        <v>112</v>
      </c>
      <c r="D47" s="3" t="s">
        <v>79</v>
      </c>
      <c r="E47" s="40">
        <f>127.5+37.4</f>
        <v>164.9</v>
      </c>
      <c r="F47" s="4">
        <v>700</v>
      </c>
      <c r="G47" s="3" t="s">
        <v>109</v>
      </c>
      <c r="H47" s="3" t="s">
        <v>26</v>
      </c>
      <c r="I47" s="3" t="s">
        <v>19</v>
      </c>
      <c r="J47" s="8" t="s">
        <v>13</v>
      </c>
      <c r="K47" s="3" t="s">
        <v>138</v>
      </c>
      <c r="L47" s="3"/>
      <c r="M47" s="3"/>
      <c r="N47" s="3"/>
      <c r="O47" s="3"/>
      <c r="P47" s="3"/>
      <c r="Q47" s="3"/>
      <c r="R47" s="3"/>
      <c r="S47" s="3"/>
    </row>
    <row r="48" spans="1:19" ht="45" x14ac:dyDescent="0.25">
      <c r="A48" s="3"/>
      <c r="B48" s="3">
        <v>42</v>
      </c>
      <c r="C48" s="3" t="s">
        <v>78</v>
      </c>
      <c r="D48" s="3" t="s">
        <v>79</v>
      </c>
      <c r="E48" s="40">
        <f>40+10+5+45+30</f>
        <v>130</v>
      </c>
      <c r="F48" s="4">
        <v>1000</v>
      </c>
      <c r="G48" s="3" t="s">
        <v>109</v>
      </c>
      <c r="H48" s="3" t="s">
        <v>26</v>
      </c>
      <c r="I48" s="3" t="s">
        <v>19</v>
      </c>
      <c r="J48" s="8" t="s">
        <v>13</v>
      </c>
      <c r="K48" s="3" t="s">
        <v>137</v>
      </c>
      <c r="L48" s="3"/>
      <c r="M48" s="3"/>
      <c r="N48" s="3"/>
      <c r="O48" s="3"/>
      <c r="P48" s="3"/>
      <c r="Q48" s="3"/>
      <c r="R48" s="3"/>
      <c r="S48" s="3"/>
    </row>
    <row r="49" spans="1:19" ht="45" x14ac:dyDescent="0.25">
      <c r="A49" s="3"/>
      <c r="B49" s="3">
        <v>43</v>
      </c>
      <c r="C49" s="3" t="s">
        <v>113</v>
      </c>
      <c r="D49" s="3" t="s">
        <v>79</v>
      </c>
      <c r="E49" s="40">
        <f>34+85+80+35+15+3+5+15+5+75+25+5+5+10+60+46+35+48+15+45+20+30+55</f>
        <v>751</v>
      </c>
      <c r="F49" s="4">
        <v>1500</v>
      </c>
      <c r="G49" s="3" t="s">
        <v>109</v>
      </c>
      <c r="H49" s="3" t="s">
        <v>26</v>
      </c>
      <c r="I49" s="3" t="s">
        <v>19</v>
      </c>
      <c r="J49" s="8" t="s">
        <v>13</v>
      </c>
      <c r="K49" s="3" t="s">
        <v>159</v>
      </c>
      <c r="L49" s="3"/>
      <c r="M49" s="3"/>
      <c r="N49" s="3"/>
      <c r="O49" s="3"/>
      <c r="P49" s="3"/>
      <c r="Q49" s="3"/>
      <c r="R49" s="3"/>
      <c r="S49" s="3"/>
    </row>
    <row r="50" spans="1:19" ht="45" x14ac:dyDescent="0.25">
      <c r="A50" s="3"/>
      <c r="B50" s="1">
        <v>44</v>
      </c>
      <c r="C50" s="3" t="s">
        <v>114</v>
      </c>
      <c r="D50" s="3" t="s">
        <v>79</v>
      </c>
      <c r="E50" s="40">
        <f>63+30+120+21+55+165+35+49+105+75+35+49+105</f>
        <v>907</v>
      </c>
      <c r="F50" s="4">
        <v>1500</v>
      </c>
      <c r="G50" s="3" t="s">
        <v>109</v>
      </c>
      <c r="H50" s="3" t="s">
        <v>26</v>
      </c>
      <c r="I50" s="3" t="s">
        <v>19</v>
      </c>
      <c r="J50" s="8" t="s">
        <v>13</v>
      </c>
      <c r="K50" s="3" t="s">
        <v>179</v>
      </c>
      <c r="L50" s="3"/>
      <c r="M50" s="3"/>
      <c r="N50" s="3"/>
      <c r="O50" s="3"/>
      <c r="P50" s="3"/>
      <c r="Q50" s="3"/>
      <c r="R50" s="3"/>
      <c r="S50" s="3"/>
    </row>
    <row r="51" spans="1:19" ht="45" x14ac:dyDescent="0.25">
      <c r="A51" s="3"/>
      <c r="B51" s="1">
        <v>45</v>
      </c>
      <c r="C51" s="3" t="s">
        <v>114</v>
      </c>
      <c r="D51" s="3" t="s">
        <v>79</v>
      </c>
      <c r="E51" s="40">
        <f>49+14+18+56+14+28+85+119+187+17</f>
        <v>587</v>
      </c>
      <c r="F51" s="4">
        <v>3000</v>
      </c>
      <c r="G51" s="3" t="s">
        <v>109</v>
      </c>
      <c r="H51" s="3" t="s">
        <v>26</v>
      </c>
      <c r="I51" s="3" t="s">
        <v>19</v>
      </c>
      <c r="J51" s="8" t="s">
        <v>13</v>
      </c>
      <c r="K51" s="3" t="s">
        <v>162</v>
      </c>
      <c r="L51" s="3"/>
      <c r="M51" s="3"/>
      <c r="N51" s="3"/>
      <c r="O51" s="3"/>
      <c r="P51" s="3"/>
      <c r="Q51" s="3"/>
      <c r="R51" s="3"/>
      <c r="S51" s="3"/>
    </row>
    <row r="52" spans="1:19" ht="45" x14ac:dyDescent="0.25">
      <c r="A52" s="3"/>
      <c r="B52" s="3">
        <v>46</v>
      </c>
      <c r="C52" s="3" t="s">
        <v>115</v>
      </c>
      <c r="D52" s="3" t="s">
        <v>79</v>
      </c>
      <c r="E52" s="40">
        <f>24+27+18+26+18+20+12+24</f>
        <v>169</v>
      </c>
      <c r="F52" s="4">
        <v>800</v>
      </c>
      <c r="G52" s="3" t="s">
        <v>109</v>
      </c>
      <c r="H52" s="3" t="s">
        <v>26</v>
      </c>
      <c r="I52" s="3" t="s">
        <v>19</v>
      </c>
      <c r="J52" s="8" t="s">
        <v>13</v>
      </c>
      <c r="K52" s="3" t="s">
        <v>194</v>
      </c>
      <c r="L52" s="3"/>
      <c r="M52" s="3"/>
      <c r="N52" s="3"/>
      <c r="O52" s="3"/>
      <c r="P52" s="3"/>
      <c r="Q52" s="3"/>
      <c r="R52" s="3"/>
      <c r="S52" s="3"/>
    </row>
    <row r="53" spans="1:19" ht="45" x14ac:dyDescent="0.25">
      <c r="A53" s="3"/>
      <c r="B53" s="3">
        <v>47</v>
      </c>
      <c r="C53" s="3" t="s">
        <v>116</v>
      </c>
      <c r="D53" s="3" t="s">
        <v>79</v>
      </c>
      <c r="E53" s="40">
        <f>100+30+30+80+100+20+50+70+50+60</f>
        <v>590</v>
      </c>
      <c r="F53" s="4">
        <v>800</v>
      </c>
      <c r="G53" s="3" t="s">
        <v>109</v>
      </c>
      <c r="H53" s="3" t="s">
        <v>26</v>
      </c>
      <c r="I53" s="3" t="s">
        <v>19</v>
      </c>
      <c r="J53" s="8" t="s">
        <v>13</v>
      </c>
      <c r="K53" s="3" t="s">
        <v>139</v>
      </c>
      <c r="L53" s="3"/>
      <c r="M53" s="3"/>
      <c r="N53" s="3"/>
      <c r="O53" s="3"/>
      <c r="P53" s="3"/>
      <c r="Q53" s="3"/>
      <c r="R53" s="3"/>
      <c r="S53" s="3"/>
    </row>
    <row r="54" spans="1:19" ht="45" x14ac:dyDescent="0.25">
      <c r="A54" s="3"/>
      <c r="B54" s="1">
        <v>48</v>
      </c>
      <c r="C54" s="3" t="s">
        <v>117</v>
      </c>
      <c r="D54" s="3" t="s">
        <v>79</v>
      </c>
      <c r="E54" s="40">
        <f>14 +4</f>
        <v>18</v>
      </c>
      <c r="F54" s="4">
        <v>200</v>
      </c>
      <c r="G54" s="3" t="s">
        <v>109</v>
      </c>
      <c r="H54" s="3" t="s">
        <v>26</v>
      </c>
      <c r="I54" s="3" t="s">
        <v>19</v>
      </c>
      <c r="J54" s="8" t="s">
        <v>13</v>
      </c>
      <c r="K54" s="3" t="s">
        <v>195</v>
      </c>
      <c r="L54" s="3"/>
      <c r="M54" s="3"/>
      <c r="N54" s="3"/>
      <c r="O54" s="3"/>
      <c r="P54" s="3"/>
      <c r="Q54" s="3"/>
      <c r="R54" s="3"/>
      <c r="S54" s="3"/>
    </row>
    <row r="55" spans="1:19" ht="45" x14ac:dyDescent="0.25">
      <c r="A55" s="3"/>
      <c r="B55" s="1" t="s">
        <v>312</v>
      </c>
      <c r="C55" s="3" t="s">
        <v>313</v>
      </c>
      <c r="D55" s="3" t="s">
        <v>314</v>
      </c>
      <c r="E55" s="41">
        <f>1529.29+3.14+1373.3</f>
        <v>2905.73</v>
      </c>
      <c r="F55" s="4">
        <v>30000</v>
      </c>
      <c r="G55" s="3" t="s">
        <v>334</v>
      </c>
      <c r="H55" s="3" t="s">
        <v>336</v>
      </c>
      <c r="I55" s="3" t="s">
        <v>8</v>
      </c>
      <c r="J55" s="3" t="s">
        <v>337</v>
      </c>
      <c r="K55" s="3" t="s">
        <v>780</v>
      </c>
      <c r="L55" s="3"/>
      <c r="M55" s="3"/>
      <c r="N55" s="3"/>
      <c r="O55" s="3"/>
      <c r="P55" s="3"/>
      <c r="Q55" s="3"/>
      <c r="R55" s="3"/>
      <c r="S55" s="3"/>
    </row>
    <row r="56" spans="1:19" ht="45" x14ac:dyDescent="0.25">
      <c r="A56" s="3"/>
      <c r="B56" s="1">
        <v>49</v>
      </c>
      <c r="C56" s="3" t="s">
        <v>118</v>
      </c>
      <c r="D56" s="3" t="s">
        <v>79</v>
      </c>
      <c r="E56" s="40">
        <f>24+64</f>
        <v>88</v>
      </c>
      <c r="F56" s="4">
        <v>500</v>
      </c>
      <c r="G56" s="3" t="s">
        <v>109</v>
      </c>
      <c r="H56" s="3" t="s">
        <v>26</v>
      </c>
      <c r="I56" s="3" t="s">
        <v>19</v>
      </c>
      <c r="J56" s="8" t="s">
        <v>13</v>
      </c>
      <c r="K56" s="3" t="s">
        <v>178</v>
      </c>
      <c r="L56" s="3"/>
      <c r="M56" s="3"/>
      <c r="N56" s="3"/>
      <c r="O56" s="3"/>
      <c r="P56" s="3"/>
      <c r="Q56" s="3"/>
      <c r="R56" s="3"/>
      <c r="S56" s="3"/>
    </row>
    <row r="57" spans="1:19" ht="45" x14ac:dyDescent="0.25">
      <c r="A57" s="3"/>
      <c r="B57" s="3">
        <v>50</v>
      </c>
      <c r="C57" s="3" t="s">
        <v>119</v>
      </c>
      <c r="D57" s="3" t="s">
        <v>89</v>
      </c>
      <c r="E57" s="40">
        <f>104.45+125.24+805.86+317.29+395.51+120.78+366.3+406.39</f>
        <v>2641.8199999999997</v>
      </c>
      <c r="F57" s="4">
        <v>7000</v>
      </c>
      <c r="G57" s="3" t="s">
        <v>109</v>
      </c>
      <c r="H57" s="3" t="s">
        <v>26</v>
      </c>
      <c r="I57" s="3" t="s">
        <v>19</v>
      </c>
      <c r="J57" s="8" t="s">
        <v>13</v>
      </c>
      <c r="K57" s="3" t="s">
        <v>156</v>
      </c>
      <c r="L57" s="3"/>
      <c r="M57" s="3"/>
      <c r="N57" s="3"/>
      <c r="O57" s="3"/>
      <c r="P57" s="3"/>
      <c r="Q57" s="3"/>
      <c r="R57" s="3"/>
      <c r="S57" s="3"/>
    </row>
    <row r="58" spans="1:19" ht="45" x14ac:dyDescent="0.25">
      <c r="A58" s="3"/>
      <c r="B58" s="3">
        <v>51</v>
      </c>
      <c r="C58" s="3" t="s">
        <v>120</v>
      </c>
      <c r="D58" s="3" t="s">
        <v>89</v>
      </c>
      <c r="E58" s="40">
        <f>108.8+49.3+63</f>
        <v>221.1</v>
      </c>
      <c r="F58" s="4">
        <v>5000</v>
      </c>
      <c r="G58" s="3" t="s">
        <v>109</v>
      </c>
      <c r="H58" s="3" t="s">
        <v>26</v>
      </c>
      <c r="I58" s="3" t="s">
        <v>19</v>
      </c>
      <c r="J58" s="8" t="s">
        <v>13</v>
      </c>
      <c r="K58" s="3" t="s">
        <v>152</v>
      </c>
      <c r="L58" s="3"/>
      <c r="M58" s="3"/>
      <c r="N58" s="3"/>
      <c r="O58" s="3"/>
      <c r="P58" s="3"/>
      <c r="Q58" s="3"/>
      <c r="R58" s="3"/>
      <c r="S58" s="3"/>
    </row>
    <row r="59" spans="1:19" ht="45" x14ac:dyDescent="0.25">
      <c r="A59" s="3"/>
      <c r="B59" s="1">
        <v>53</v>
      </c>
      <c r="C59" s="3" t="s">
        <v>88</v>
      </c>
      <c r="D59" s="3" t="s">
        <v>89</v>
      </c>
      <c r="E59" s="40">
        <f>105.93+311.06+175.73+123.26+45.05+384.12+34.65+341.95+191.07+116.33</f>
        <v>1829.15</v>
      </c>
      <c r="F59" s="4">
        <v>5000</v>
      </c>
      <c r="G59" s="3" t="s">
        <v>109</v>
      </c>
      <c r="H59" s="3" t="s">
        <v>26</v>
      </c>
      <c r="I59" s="3" t="s">
        <v>19</v>
      </c>
      <c r="J59" s="8" t="s">
        <v>13</v>
      </c>
      <c r="K59" s="3" t="s">
        <v>150</v>
      </c>
      <c r="L59" s="3"/>
      <c r="M59" s="3"/>
      <c r="N59" s="3"/>
      <c r="O59" s="3"/>
      <c r="P59" s="3"/>
      <c r="Q59" s="3"/>
      <c r="R59" s="3"/>
      <c r="S59" s="3"/>
    </row>
    <row r="60" spans="1:19" ht="45" x14ac:dyDescent="0.25">
      <c r="A60" s="3"/>
      <c r="B60" s="3">
        <v>54</v>
      </c>
      <c r="C60" s="3" t="s">
        <v>121</v>
      </c>
      <c r="D60" s="3" t="s">
        <v>89</v>
      </c>
      <c r="E60" s="40">
        <f>936.8+86.4</f>
        <v>1023.1999999999999</v>
      </c>
      <c r="F60" s="4">
        <v>5000</v>
      </c>
      <c r="G60" s="3" t="s">
        <v>109</v>
      </c>
      <c r="H60" s="3" t="s">
        <v>26</v>
      </c>
      <c r="I60" s="3" t="s">
        <v>19</v>
      </c>
      <c r="J60" s="8" t="s">
        <v>13</v>
      </c>
      <c r="K60" s="3" t="s">
        <v>158</v>
      </c>
      <c r="L60" s="3"/>
      <c r="M60" s="3"/>
      <c r="N60" s="3"/>
      <c r="O60" s="3"/>
      <c r="P60" s="3"/>
      <c r="Q60" s="3"/>
      <c r="R60" s="3"/>
      <c r="S60" s="3"/>
    </row>
    <row r="61" spans="1:19" ht="45" x14ac:dyDescent="0.25">
      <c r="A61" s="3"/>
      <c r="B61" s="1">
        <v>56</v>
      </c>
      <c r="C61" s="3" t="s">
        <v>123</v>
      </c>
      <c r="D61" s="3" t="s">
        <v>89</v>
      </c>
      <c r="E61" s="40">
        <f>356.4+950+176.4+165.6+396+118.8+118.8+50.4+198+594+58.5+119.7+237.6+177.3</f>
        <v>3717.5000000000005</v>
      </c>
      <c r="F61" s="4">
        <v>6000</v>
      </c>
      <c r="G61" s="3" t="s">
        <v>109</v>
      </c>
      <c r="H61" s="3" t="s">
        <v>26</v>
      </c>
      <c r="I61" s="3" t="s">
        <v>19</v>
      </c>
      <c r="J61" s="8" t="s">
        <v>13</v>
      </c>
      <c r="K61" s="3" t="s">
        <v>151</v>
      </c>
      <c r="L61" s="3"/>
      <c r="M61" s="3"/>
      <c r="N61" s="3"/>
      <c r="O61" s="3"/>
      <c r="P61" s="3"/>
      <c r="Q61" s="3"/>
      <c r="R61" s="3"/>
      <c r="S61" s="3"/>
    </row>
    <row r="62" spans="1:19" ht="45" x14ac:dyDescent="0.25">
      <c r="A62" s="3"/>
      <c r="B62" s="1">
        <v>57</v>
      </c>
      <c r="C62" s="3" t="s">
        <v>96</v>
      </c>
      <c r="D62" s="3" t="s">
        <v>89</v>
      </c>
      <c r="E62" s="41">
        <f>48.32+355.77+170.98+282.62+340.37+375.95+101.95+166.2+716.32+621.8+113.1+52.57+406.75+120.54+46.2+404.62+178.95+95.05+265.5+140.72+112.04+166.2+157.18+369.58+217.71</f>
        <v>6026.99</v>
      </c>
      <c r="F62" s="4">
        <v>12000</v>
      </c>
      <c r="G62" s="3" t="s">
        <v>109</v>
      </c>
      <c r="H62" s="3" t="s">
        <v>26</v>
      </c>
      <c r="I62" s="3" t="s">
        <v>19</v>
      </c>
      <c r="J62" s="8" t="s">
        <v>13</v>
      </c>
      <c r="K62" s="3" t="s">
        <v>211</v>
      </c>
      <c r="L62" s="3"/>
      <c r="M62" s="3"/>
      <c r="N62" s="3"/>
      <c r="O62" s="3"/>
      <c r="P62" s="3"/>
      <c r="Q62" s="3"/>
      <c r="R62" s="3"/>
      <c r="S62" s="3"/>
    </row>
    <row r="63" spans="1:19" ht="45" x14ac:dyDescent="0.25">
      <c r="A63" s="3"/>
      <c r="B63" s="3">
        <v>58</v>
      </c>
      <c r="C63" s="3" t="s">
        <v>124</v>
      </c>
      <c r="D63" s="3" t="s">
        <v>89</v>
      </c>
      <c r="E63" s="40">
        <f>232.83+155.97+166.43</f>
        <v>555.23</v>
      </c>
      <c r="F63" s="4">
        <v>3000</v>
      </c>
      <c r="G63" s="3" t="s">
        <v>109</v>
      </c>
      <c r="H63" s="3" t="s">
        <v>26</v>
      </c>
      <c r="I63" s="3" t="s">
        <v>19</v>
      </c>
      <c r="J63" s="8" t="s">
        <v>13</v>
      </c>
      <c r="K63" s="3" t="s">
        <v>207</v>
      </c>
      <c r="L63" s="3"/>
      <c r="M63" s="3"/>
      <c r="N63" s="3"/>
      <c r="O63" s="3"/>
      <c r="P63" s="3"/>
      <c r="Q63" s="3"/>
      <c r="R63" s="3"/>
      <c r="S63" s="3"/>
    </row>
    <row r="64" spans="1:19" ht="45" x14ac:dyDescent="0.25">
      <c r="A64" s="3"/>
      <c r="B64" s="1">
        <v>60</v>
      </c>
      <c r="C64" s="3" t="s">
        <v>125</v>
      </c>
      <c r="D64" s="3" t="s">
        <v>89</v>
      </c>
      <c r="E64" s="40">
        <f>58.17+49.89+401.99+160.01+144.18+1540.81+295.7+672.86+359.05+187.03+281.83+299.3</f>
        <v>4450.8200000000006</v>
      </c>
      <c r="F64" s="4">
        <v>10000</v>
      </c>
      <c r="G64" s="3" t="s">
        <v>109</v>
      </c>
      <c r="H64" s="3" t="s">
        <v>26</v>
      </c>
      <c r="I64" s="3" t="s">
        <v>19</v>
      </c>
      <c r="J64" s="8" t="s">
        <v>13</v>
      </c>
      <c r="K64" s="3" t="s">
        <v>153</v>
      </c>
      <c r="L64" s="3"/>
      <c r="M64" s="3"/>
      <c r="N64" s="3"/>
      <c r="O64" s="3"/>
      <c r="P64" s="3"/>
      <c r="Q64" s="3"/>
      <c r="R64" s="3"/>
      <c r="S64" s="3"/>
    </row>
    <row r="65" spans="1:19" ht="90" x14ac:dyDescent="0.25">
      <c r="A65" s="3"/>
      <c r="B65" s="1">
        <v>61</v>
      </c>
      <c r="C65" s="3" t="s">
        <v>126</v>
      </c>
      <c r="D65" s="3" t="s">
        <v>127</v>
      </c>
      <c r="E65" s="40">
        <f>43733.48+44108.4</f>
        <v>87841.88</v>
      </c>
      <c r="F65" s="4">
        <v>89920.72</v>
      </c>
      <c r="G65" s="3" t="s">
        <v>109</v>
      </c>
      <c r="H65" s="3" t="s">
        <v>81</v>
      </c>
      <c r="I65" s="3" t="s">
        <v>19</v>
      </c>
      <c r="J65" s="10" t="s">
        <v>100</v>
      </c>
      <c r="K65" s="3" t="s">
        <v>141</v>
      </c>
      <c r="L65" s="3"/>
      <c r="M65" s="3"/>
      <c r="N65" s="3"/>
      <c r="O65" s="3"/>
      <c r="P65" s="3"/>
      <c r="Q65" s="3"/>
      <c r="R65" s="3"/>
      <c r="S65" s="3"/>
    </row>
    <row r="66" spans="1:19" ht="45" x14ac:dyDescent="0.25">
      <c r="A66" s="3"/>
      <c r="B66" s="3">
        <v>62</v>
      </c>
      <c r="C66" s="3" t="s">
        <v>128</v>
      </c>
      <c r="D66" s="3" t="s">
        <v>89</v>
      </c>
      <c r="E66" s="40">
        <f>450+90+132.66</f>
        <v>672.66</v>
      </c>
      <c r="F66" s="4">
        <v>5000</v>
      </c>
      <c r="G66" s="3" t="s">
        <v>109</v>
      </c>
      <c r="H66" s="3" t="s">
        <v>26</v>
      </c>
      <c r="I66" s="3" t="s">
        <v>19</v>
      </c>
      <c r="J66" s="8" t="s">
        <v>13</v>
      </c>
      <c r="K66" s="3" t="s">
        <v>155</v>
      </c>
      <c r="L66" s="3"/>
      <c r="M66" s="3"/>
      <c r="N66" s="3"/>
      <c r="O66" s="3"/>
      <c r="P66" s="3"/>
      <c r="Q66" s="3"/>
      <c r="R66" s="3"/>
      <c r="S66" s="3"/>
    </row>
    <row r="67" spans="1:19" ht="45" x14ac:dyDescent="0.25">
      <c r="A67" s="3"/>
      <c r="B67" s="3">
        <v>63</v>
      </c>
      <c r="C67" s="3" t="s">
        <v>129</v>
      </c>
      <c r="D67" s="3" t="s">
        <v>89</v>
      </c>
      <c r="E67" s="41">
        <f>139.1+101.57+163.75+349.37+205.42</f>
        <v>959.20999999999992</v>
      </c>
      <c r="F67" s="4">
        <v>7000</v>
      </c>
      <c r="G67" s="3" t="s">
        <v>109</v>
      </c>
      <c r="H67" s="3" t="s">
        <v>26</v>
      </c>
      <c r="I67" s="3" t="s">
        <v>19</v>
      </c>
      <c r="J67" s="8" t="s">
        <v>13</v>
      </c>
      <c r="K67" s="3" t="s">
        <v>157</v>
      </c>
      <c r="L67" s="3"/>
      <c r="M67" s="3"/>
      <c r="N67" s="3"/>
      <c r="O67" s="3"/>
      <c r="P67" s="3"/>
      <c r="Q67" s="3"/>
      <c r="R67" s="3"/>
      <c r="S67" s="3"/>
    </row>
    <row r="68" spans="1:19" ht="45" x14ac:dyDescent="0.25">
      <c r="A68" s="3"/>
      <c r="B68" s="1">
        <v>64</v>
      </c>
      <c r="C68" s="3" t="s">
        <v>130</v>
      </c>
      <c r="D68" s="3" t="s">
        <v>89</v>
      </c>
      <c r="E68" s="40">
        <f>147.51+300.15+53+140.58+41.58+139.72+193.55+110.4+600+117.45</f>
        <v>1843.9400000000003</v>
      </c>
      <c r="F68" s="4">
        <v>2000</v>
      </c>
      <c r="G68" s="3" t="s">
        <v>131</v>
      </c>
      <c r="H68" s="3" t="s">
        <v>26</v>
      </c>
      <c r="I68" s="3" t="s">
        <v>19</v>
      </c>
      <c r="J68" s="8" t="s">
        <v>13</v>
      </c>
      <c r="K68" s="3" t="s">
        <v>288</v>
      </c>
      <c r="L68" s="3"/>
      <c r="M68" s="3"/>
      <c r="N68" s="3"/>
      <c r="O68" s="3"/>
      <c r="P68" s="3"/>
      <c r="Q68" s="3"/>
      <c r="R68" s="3"/>
      <c r="S68" s="3"/>
    </row>
    <row r="69" spans="1:19" ht="45" x14ac:dyDescent="0.25">
      <c r="A69" s="3"/>
      <c r="B69" s="1">
        <v>65</v>
      </c>
      <c r="C69" s="3" t="s">
        <v>95</v>
      </c>
      <c r="D69" s="3" t="s">
        <v>89</v>
      </c>
      <c r="E69" s="40">
        <f>48.51+128.2+499.95+194.04+365.31+491.04+167.8+359.37+398.48+599.26+148.01+194.58+959.44+150.08+227.7</f>
        <v>4931.7699999999995</v>
      </c>
      <c r="F69" s="4">
        <v>5000</v>
      </c>
      <c r="G69" s="3" t="s">
        <v>131</v>
      </c>
      <c r="H69" s="3" t="s">
        <v>26</v>
      </c>
      <c r="I69" s="3" t="s">
        <v>19</v>
      </c>
      <c r="J69" s="8" t="s">
        <v>13</v>
      </c>
      <c r="K69" s="3" t="s">
        <v>212</v>
      </c>
      <c r="L69" s="3"/>
      <c r="M69" s="3"/>
      <c r="N69" s="3"/>
      <c r="O69" s="3"/>
      <c r="P69" s="3"/>
      <c r="Q69" s="3"/>
      <c r="R69" s="3"/>
      <c r="S69" s="3"/>
    </row>
    <row r="70" spans="1:19" ht="45" x14ac:dyDescent="0.25">
      <c r="A70" s="3"/>
      <c r="B70" s="3">
        <v>66</v>
      </c>
      <c r="C70" s="3" t="s">
        <v>122</v>
      </c>
      <c r="D70" s="3" t="s">
        <v>85</v>
      </c>
      <c r="E70" s="40" t="s">
        <v>292</v>
      </c>
      <c r="F70" s="4">
        <v>295</v>
      </c>
      <c r="G70" s="3" t="s">
        <v>131</v>
      </c>
      <c r="H70" s="3" t="s">
        <v>26</v>
      </c>
      <c r="I70" s="3" t="s">
        <v>19</v>
      </c>
      <c r="J70" s="8" t="s">
        <v>13</v>
      </c>
      <c r="K70" s="3" t="s">
        <v>216</v>
      </c>
      <c r="L70" s="3"/>
      <c r="M70" s="3"/>
      <c r="N70" s="3"/>
      <c r="O70" s="3"/>
      <c r="P70" s="3"/>
      <c r="Q70" s="3"/>
      <c r="R70" s="3"/>
      <c r="S70" s="3"/>
    </row>
    <row r="71" spans="1:19" ht="45" x14ac:dyDescent="0.25">
      <c r="A71" s="3"/>
      <c r="B71" s="3">
        <v>67</v>
      </c>
      <c r="C71" s="3" t="s">
        <v>132</v>
      </c>
      <c r="D71" s="3" t="s">
        <v>83</v>
      </c>
      <c r="E71" s="40" t="s">
        <v>291</v>
      </c>
      <c r="F71" s="4">
        <v>705</v>
      </c>
      <c r="G71" s="3" t="s">
        <v>131</v>
      </c>
      <c r="H71" s="3" t="s">
        <v>81</v>
      </c>
      <c r="I71" s="3" t="s">
        <v>19</v>
      </c>
      <c r="J71" s="8" t="s">
        <v>13</v>
      </c>
      <c r="K71" s="3" t="s">
        <v>215</v>
      </c>
      <c r="L71" s="3"/>
      <c r="M71" s="3"/>
      <c r="N71" s="3"/>
      <c r="O71" s="3"/>
      <c r="P71" s="3"/>
      <c r="Q71" s="3"/>
      <c r="R71" s="3"/>
      <c r="S71" s="3"/>
    </row>
    <row r="72" spans="1:19" ht="45" x14ac:dyDescent="0.25">
      <c r="A72" s="3"/>
      <c r="B72" s="1">
        <v>68</v>
      </c>
      <c r="C72" s="3" t="s">
        <v>133</v>
      </c>
      <c r="D72" s="3" t="s">
        <v>85</v>
      </c>
      <c r="E72" s="40" t="s">
        <v>293</v>
      </c>
      <c r="F72" s="4">
        <v>630</v>
      </c>
      <c r="G72" s="3" t="s">
        <v>131</v>
      </c>
      <c r="H72" s="3" t="s">
        <v>26</v>
      </c>
      <c r="I72" s="3" t="s">
        <v>19</v>
      </c>
      <c r="J72" s="8" t="s">
        <v>13</v>
      </c>
      <c r="K72" s="3" t="s">
        <v>229</v>
      </c>
      <c r="L72" s="3"/>
      <c r="M72" s="3"/>
      <c r="N72" s="3"/>
      <c r="O72" s="3"/>
      <c r="P72" s="3"/>
      <c r="Q72" s="3"/>
      <c r="R72" s="3"/>
      <c r="S72" s="3"/>
    </row>
    <row r="73" spans="1:19" ht="45" x14ac:dyDescent="0.25">
      <c r="A73" s="3"/>
      <c r="B73" s="1">
        <v>69</v>
      </c>
      <c r="C73" s="3" t="s">
        <v>86</v>
      </c>
      <c r="D73" s="3" t="s">
        <v>87</v>
      </c>
      <c r="E73" s="40">
        <v>1200</v>
      </c>
      <c r="F73" s="4">
        <v>1200</v>
      </c>
      <c r="G73" s="3" t="s">
        <v>131</v>
      </c>
      <c r="H73" s="3" t="s">
        <v>26</v>
      </c>
      <c r="I73" s="3" t="s">
        <v>19</v>
      </c>
      <c r="J73" s="8" t="s">
        <v>13</v>
      </c>
      <c r="K73" s="3" t="s">
        <v>203</v>
      </c>
      <c r="L73" s="3"/>
      <c r="M73" s="3"/>
      <c r="N73" s="3"/>
      <c r="O73" s="3"/>
      <c r="P73" s="3"/>
      <c r="Q73" s="3"/>
      <c r="R73" s="3"/>
      <c r="S73" s="3"/>
    </row>
    <row r="74" spans="1:19" ht="45" x14ac:dyDescent="0.25">
      <c r="A74" s="3"/>
      <c r="B74" s="3">
        <v>70</v>
      </c>
      <c r="C74" s="3" t="s">
        <v>92</v>
      </c>
      <c r="D74" s="3" t="s">
        <v>89</v>
      </c>
      <c r="E74" s="40">
        <f>475.2+90.09+473.22+393.03+148.9+356.89+522.72+99.94+284.03 +1266.7+37.62+142.56+95.04+172.75+97.51+510.05+576.53+26.23+50+489.06+1967.78+37.62+1495.89+76.92+1088.01+365.11+864.76+96.52+54.94+893.96+344.03+323.64+378.67+113.06+166.32+178.6+219.68+46.53+209.48+151.37+107.61+173.15+59.4+227.8+144.14+267.3+169.29+47.72+58.9+81.18+128.01+151.07+205.03+179.19+72.77+178.2+257.04+237.89+180.63+166.32+155.74+141.52+172.77+267.02+269.44</f>
        <v>19480.090000000004</v>
      </c>
      <c r="F74" s="4">
        <v>50000</v>
      </c>
      <c r="G74" s="3" t="s">
        <v>131</v>
      </c>
      <c r="H74" s="3" t="s">
        <v>26</v>
      </c>
      <c r="I74" s="3" t="s">
        <v>19</v>
      </c>
      <c r="J74" s="8" t="s">
        <v>13</v>
      </c>
      <c r="K74" s="3" t="s">
        <v>214</v>
      </c>
      <c r="L74" s="3"/>
      <c r="M74" s="3"/>
      <c r="N74" s="3"/>
      <c r="O74" s="3"/>
      <c r="P74" s="3"/>
      <c r="Q74" s="3"/>
      <c r="R74" s="3"/>
      <c r="S74" s="3"/>
    </row>
    <row r="75" spans="1:19" ht="45" x14ac:dyDescent="0.25">
      <c r="A75" s="3"/>
      <c r="B75" s="3">
        <v>71</v>
      </c>
      <c r="C75" s="3" t="s">
        <v>94</v>
      </c>
      <c r="D75" s="3" t="s">
        <v>89</v>
      </c>
      <c r="E75" s="40">
        <f>186.89+248.38</f>
        <v>435.27</v>
      </c>
      <c r="F75" s="4">
        <v>3000</v>
      </c>
      <c r="G75" s="3" t="s">
        <v>131</v>
      </c>
      <c r="H75" s="3" t="s">
        <v>26</v>
      </c>
      <c r="I75" s="3" t="s">
        <v>19</v>
      </c>
      <c r="J75" s="8" t="s">
        <v>13</v>
      </c>
      <c r="K75" s="3" t="s">
        <v>205</v>
      </c>
      <c r="L75" s="3"/>
      <c r="M75" s="3"/>
      <c r="N75" s="3"/>
      <c r="O75" s="3"/>
      <c r="P75" s="3"/>
      <c r="Q75" s="3"/>
      <c r="R75" s="3"/>
      <c r="S75" s="3"/>
    </row>
    <row r="76" spans="1:19" ht="45" x14ac:dyDescent="0.25">
      <c r="A76" s="3"/>
      <c r="B76" s="1">
        <v>72</v>
      </c>
      <c r="C76" s="3" t="s">
        <v>134</v>
      </c>
      <c r="D76" s="3" t="s">
        <v>89</v>
      </c>
      <c r="E76" s="40">
        <f>400+50+100+50+600+50+50+120+400+100+500+100+50+120</f>
        <v>2690</v>
      </c>
      <c r="F76" s="4">
        <v>10000</v>
      </c>
      <c r="G76" s="3" t="s">
        <v>131</v>
      </c>
      <c r="H76" s="3" t="s">
        <v>26</v>
      </c>
      <c r="I76" s="3" t="s">
        <v>19</v>
      </c>
      <c r="J76" s="8" t="s">
        <v>13</v>
      </c>
      <c r="K76" s="3" t="s">
        <v>204</v>
      </c>
      <c r="L76" s="3"/>
      <c r="M76" s="3"/>
      <c r="N76" s="3"/>
      <c r="O76" s="3"/>
      <c r="P76" s="3"/>
      <c r="Q76" s="3"/>
      <c r="R76" s="3"/>
      <c r="S76" s="3"/>
    </row>
    <row r="77" spans="1:19" ht="45" x14ac:dyDescent="0.25">
      <c r="A77" s="3"/>
      <c r="B77" s="1">
        <v>73</v>
      </c>
      <c r="C77" s="3" t="s">
        <v>135</v>
      </c>
      <c r="D77" s="3" t="s">
        <v>89</v>
      </c>
      <c r="E77" s="40">
        <f>500+400+120+900+270+100+200+350+350+250</f>
        <v>3440</v>
      </c>
      <c r="F77" s="4">
        <v>7000</v>
      </c>
      <c r="G77" s="3" t="s">
        <v>131</v>
      </c>
      <c r="H77" s="3" t="s">
        <v>26</v>
      </c>
      <c r="I77" s="3" t="s">
        <v>19</v>
      </c>
      <c r="J77" s="8" t="s">
        <v>13</v>
      </c>
      <c r="K77" s="3" t="s">
        <v>206</v>
      </c>
      <c r="L77" s="3"/>
      <c r="M77" s="3"/>
      <c r="N77" s="3"/>
      <c r="O77" s="3"/>
      <c r="P77" s="3"/>
      <c r="Q77" s="3"/>
      <c r="R77" s="3"/>
      <c r="S77" s="3"/>
    </row>
    <row r="78" spans="1:19" s="15" customFormat="1" ht="45" x14ac:dyDescent="0.25">
      <c r="A78" s="3"/>
      <c r="B78" s="3">
        <v>74</v>
      </c>
      <c r="C78" s="3" t="s">
        <v>136</v>
      </c>
      <c r="D78" s="3" t="s">
        <v>89</v>
      </c>
      <c r="E78" s="40">
        <f>116.6+147.4+56.1+113.3+462.56+116.82+49.56</f>
        <v>1062.3399999999999</v>
      </c>
      <c r="F78" s="4">
        <v>1100</v>
      </c>
      <c r="G78" s="3" t="s">
        <v>131</v>
      </c>
      <c r="H78" s="3" t="s">
        <v>26</v>
      </c>
      <c r="I78" s="3" t="s">
        <v>19</v>
      </c>
      <c r="J78" s="8" t="s">
        <v>13</v>
      </c>
      <c r="K78" s="3" t="s">
        <v>209</v>
      </c>
      <c r="L78" s="3"/>
      <c r="M78" s="3"/>
      <c r="N78" s="3"/>
      <c r="O78" s="3"/>
      <c r="P78" s="3"/>
      <c r="Q78" s="3"/>
      <c r="R78" s="3"/>
      <c r="S78" s="3"/>
    </row>
    <row r="79" spans="1:19" ht="45" x14ac:dyDescent="0.25">
      <c r="A79" s="3"/>
      <c r="B79" s="1">
        <v>76</v>
      </c>
      <c r="C79" s="3" t="s">
        <v>144</v>
      </c>
      <c r="D79" s="3" t="s">
        <v>89</v>
      </c>
      <c r="E79" s="40">
        <f>84.84+105.24+395.6+177.12+50.7+110.18+121.18+296.8</f>
        <v>1341.66</v>
      </c>
      <c r="F79" s="4">
        <v>5000</v>
      </c>
      <c r="G79" s="3" t="s">
        <v>131</v>
      </c>
      <c r="H79" s="3" t="s">
        <v>26</v>
      </c>
      <c r="I79" s="3" t="s">
        <v>19</v>
      </c>
      <c r="J79" s="8" t="s">
        <v>13</v>
      </c>
      <c r="K79" s="3" t="s">
        <v>213</v>
      </c>
      <c r="L79" s="3"/>
      <c r="M79" s="3"/>
      <c r="N79" s="3"/>
      <c r="O79" s="3"/>
      <c r="P79" s="3"/>
      <c r="Q79" s="3"/>
      <c r="R79" s="3"/>
      <c r="S79" s="3"/>
    </row>
    <row r="80" spans="1:19" ht="45" x14ac:dyDescent="0.25">
      <c r="A80" s="3"/>
      <c r="B80" s="1">
        <v>77</v>
      </c>
      <c r="C80" s="3" t="s">
        <v>145</v>
      </c>
      <c r="D80" s="3" t="s">
        <v>89</v>
      </c>
      <c r="E80" s="40">
        <f>451+440+700+150+160+277.2+200+1132+300</f>
        <v>3810.2</v>
      </c>
      <c r="F80" s="4">
        <v>5000</v>
      </c>
      <c r="G80" s="3" t="s">
        <v>131</v>
      </c>
      <c r="H80" s="3" t="s">
        <v>26</v>
      </c>
      <c r="I80" s="3" t="s">
        <v>19</v>
      </c>
      <c r="J80" s="8" t="s">
        <v>13</v>
      </c>
      <c r="K80" s="16" t="s">
        <v>223</v>
      </c>
      <c r="L80" s="3"/>
      <c r="M80" s="3"/>
      <c r="N80" s="3"/>
      <c r="O80" s="3"/>
      <c r="P80" s="3"/>
      <c r="Q80" s="3"/>
      <c r="R80" s="3"/>
      <c r="S80" s="3"/>
    </row>
    <row r="81" spans="1:19" ht="45" x14ac:dyDescent="0.25">
      <c r="A81" s="3"/>
      <c r="B81" s="3">
        <v>78</v>
      </c>
      <c r="C81" s="3" t="s">
        <v>146</v>
      </c>
      <c r="D81" s="3" t="s">
        <v>89</v>
      </c>
      <c r="E81" s="40">
        <f>465.3+92.4+399.85+744.7+49.5+375.1+974.6+160.05+278.85+627+104.5+293.7</f>
        <v>4565.55</v>
      </c>
      <c r="F81" s="4">
        <v>5000</v>
      </c>
      <c r="G81" s="3" t="s">
        <v>131</v>
      </c>
      <c r="H81" s="3" t="s">
        <v>26</v>
      </c>
      <c r="I81" s="3" t="s">
        <v>19</v>
      </c>
      <c r="J81" s="8" t="s">
        <v>13</v>
      </c>
      <c r="K81" s="3" t="s">
        <v>208</v>
      </c>
      <c r="L81" s="3"/>
      <c r="M81" s="3"/>
      <c r="N81" s="3"/>
      <c r="O81" s="3"/>
      <c r="P81" s="3"/>
      <c r="Q81" s="3"/>
      <c r="R81" s="3"/>
      <c r="S81" s="3"/>
    </row>
    <row r="82" spans="1:19" ht="45" x14ac:dyDescent="0.25">
      <c r="A82" s="3"/>
      <c r="B82" s="3">
        <v>79</v>
      </c>
      <c r="C82" s="3" t="s">
        <v>147</v>
      </c>
      <c r="D82" s="3" t="s">
        <v>89</v>
      </c>
      <c r="E82" s="40">
        <f>119.9+167.2+409.2+124.85+81.4+100+385.33+330.55</f>
        <v>1718.4299999999998</v>
      </c>
      <c r="F82" s="4">
        <v>5000</v>
      </c>
      <c r="G82" s="3" t="s">
        <v>131</v>
      </c>
      <c r="H82" s="3" t="s">
        <v>26</v>
      </c>
      <c r="I82" s="3" t="s">
        <v>19</v>
      </c>
      <c r="J82" s="8" t="s">
        <v>13</v>
      </c>
      <c r="K82" s="3" t="s">
        <v>230</v>
      </c>
      <c r="L82" s="3"/>
      <c r="M82" s="3"/>
      <c r="N82" s="3"/>
      <c r="O82" s="3"/>
      <c r="P82" s="3"/>
      <c r="Q82" s="3"/>
      <c r="R82" s="3"/>
      <c r="S82" s="3"/>
    </row>
    <row r="83" spans="1:19" ht="45" x14ac:dyDescent="0.25">
      <c r="A83" s="3"/>
      <c r="B83" s="1">
        <v>80</v>
      </c>
      <c r="C83" s="3" t="s">
        <v>148</v>
      </c>
      <c r="D83" s="3" t="s">
        <v>89</v>
      </c>
      <c r="E83" s="40">
        <f>150+50+50+99</f>
        <v>349</v>
      </c>
      <c r="F83" s="4">
        <v>7000</v>
      </c>
      <c r="G83" s="3" t="s">
        <v>131</v>
      </c>
      <c r="H83" s="3" t="s">
        <v>26</v>
      </c>
      <c r="I83" s="3" t="s">
        <v>19</v>
      </c>
      <c r="J83" s="8" t="s">
        <v>13</v>
      </c>
      <c r="K83" s="3" t="s">
        <v>210</v>
      </c>
      <c r="L83" s="3"/>
      <c r="M83" s="3"/>
      <c r="N83" s="3"/>
      <c r="O83" s="3"/>
      <c r="P83" s="3"/>
      <c r="Q83" s="3"/>
      <c r="R83" s="3"/>
      <c r="S83" s="3"/>
    </row>
    <row r="84" spans="1:19" ht="45.75" x14ac:dyDescent="0.25">
      <c r="A84" s="3"/>
      <c r="B84" s="1">
        <v>81</v>
      </c>
      <c r="C84" s="3" t="s">
        <v>160</v>
      </c>
      <c r="D84" s="3" t="s">
        <v>163</v>
      </c>
      <c r="E84" s="40">
        <f>1490+3500</f>
        <v>4990</v>
      </c>
      <c r="F84" s="4">
        <v>4990</v>
      </c>
      <c r="G84" s="3" t="s">
        <v>161</v>
      </c>
      <c r="H84" s="3" t="s">
        <v>81</v>
      </c>
      <c r="I84" s="3" t="s">
        <v>19</v>
      </c>
      <c r="J84" s="8" t="s">
        <v>7</v>
      </c>
      <c r="K84" s="3" t="s">
        <v>221</v>
      </c>
      <c r="L84" s="3"/>
      <c r="M84" s="3"/>
      <c r="N84" s="3"/>
      <c r="O84" s="3"/>
      <c r="P84" s="3"/>
      <c r="Q84" s="3"/>
      <c r="R84" s="3"/>
      <c r="S84" s="3"/>
    </row>
    <row r="85" spans="1:19" ht="45" x14ac:dyDescent="0.25">
      <c r="A85" s="3"/>
      <c r="B85" s="3">
        <v>82</v>
      </c>
      <c r="C85" s="3" t="s">
        <v>164</v>
      </c>
      <c r="D85" s="3" t="s">
        <v>89</v>
      </c>
      <c r="E85" s="40">
        <f>119+200+643+106.5+264.5</f>
        <v>1333</v>
      </c>
      <c r="F85" s="4">
        <v>3000</v>
      </c>
      <c r="G85" s="3" t="s">
        <v>165</v>
      </c>
      <c r="H85" s="3" t="s">
        <v>26</v>
      </c>
      <c r="I85" s="3" t="s">
        <v>19</v>
      </c>
      <c r="J85" s="8" t="s">
        <v>13</v>
      </c>
      <c r="K85" s="3" t="s">
        <v>231</v>
      </c>
      <c r="L85" s="3"/>
      <c r="M85" s="3"/>
      <c r="N85" s="3"/>
      <c r="O85" s="3"/>
      <c r="P85" s="3"/>
      <c r="Q85" s="3"/>
      <c r="R85" s="3"/>
      <c r="S85" s="3"/>
    </row>
    <row r="86" spans="1:19" ht="45" x14ac:dyDescent="0.25">
      <c r="A86" s="3"/>
      <c r="B86" s="3">
        <v>83</v>
      </c>
      <c r="C86" s="3" t="s">
        <v>164</v>
      </c>
      <c r="D86" s="3" t="s">
        <v>85</v>
      </c>
      <c r="E86" s="40">
        <f>690+1140+396+1200+585</f>
        <v>4011</v>
      </c>
      <c r="F86" s="4">
        <v>10000</v>
      </c>
      <c r="G86" s="3" t="s">
        <v>165</v>
      </c>
      <c r="H86" s="3" t="s">
        <v>26</v>
      </c>
      <c r="I86" s="3" t="s">
        <v>19</v>
      </c>
      <c r="J86" s="8" t="s">
        <v>13</v>
      </c>
      <c r="K86" s="3" t="s">
        <v>232</v>
      </c>
      <c r="L86" s="3"/>
      <c r="M86" s="3"/>
      <c r="N86" s="3"/>
      <c r="O86" s="3"/>
      <c r="P86" s="3"/>
      <c r="Q86" s="3"/>
      <c r="R86" s="3"/>
      <c r="S86" s="3"/>
    </row>
    <row r="87" spans="1:19" ht="45" x14ac:dyDescent="0.25">
      <c r="A87" s="3"/>
      <c r="B87" s="1">
        <v>84</v>
      </c>
      <c r="C87" s="3" t="s">
        <v>166</v>
      </c>
      <c r="D87" s="3" t="s">
        <v>85</v>
      </c>
      <c r="E87" s="40">
        <f>223.2+329.04+779.8+1575.64+287.68+2336.29+575.36+479.4+223.2+956.76+1278.4+198+1078+594.8+1026.55+410.27</f>
        <v>12352.389999999998</v>
      </c>
      <c r="F87" s="4">
        <v>30000</v>
      </c>
      <c r="G87" s="3" t="s">
        <v>165</v>
      </c>
      <c r="H87" s="3" t="s">
        <v>26</v>
      </c>
      <c r="I87" s="3" t="s">
        <v>19</v>
      </c>
      <c r="J87" s="8" t="s">
        <v>13</v>
      </c>
      <c r="K87" s="3" t="s">
        <v>188</v>
      </c>
      <c r="L87" s="3"/>
      <c r="M87" s="3"/>
      <c r="N87" s="3"/>
      <c r="O87" s="3"/>
      <c r="P87" s="3"/>
      <c r="Q87" s="3"/>
      <c r="R87" s="3"/>
      <c r="S87" s="3"/>
    </row>
    <row r="88" spans="1:19" ht="45" x14ac:dyDescent="0.25">
      <c r="A88" s="3"/>
      <c r="B88" s="1">
        <v>85</v>
      </c>
      <c r="C88" s="3" t="s">
        <v>167</v>
      </c>
      <c r="D88" s="3" t="s">
        <v>85</v>
      </c>
      <c r="E88" s="40">
        <f>1000+1200+2000+350+3990+2380+3080+1160</f>
        <v>15160</v>
      </c>
      <c r="F88" s="4">
        <v>30000</v>
      </c>
      <c r="G88" s="3" t="s">
        <v>165</v>
      </c>
      <c r="H88" s="3" t="s">
        <v>26</v>
      </c>
      <c r="I88" s="3" t="s">
        <v>19</v>
      </c>
      <c r="J88" s="8" t="s">
        <v>13</v>
      </c>
      <c r="K88" s="3" t="s">
        <v>201</v>
      </c>
      <c r="L88" s="3"/>
      <c r="M88" s="3"/>
      <c r="N88" s="3"/>
      <c r="O88" s="3"/>
      <c r="P88" s="3"/>
      <c r="Q88" s="3"/>
      <c r="R88" s="3"/>
      <c r="S88" s="3"/>
    </row>
    <row r="89" spans="1:19" ht="45" x14ac:dyDescent="0.25">
      <c r="A89" s="3"/>
      <c r="B89" s="3">
        <v>86</v>
      </c>
      <c r="C89" s="3" t="s">
        <v>167</v>
      </c>
      <c r="D89" s="3" t="s">
        <v>89</v>
      </c>
      <c r="E89" s="40">
        <f>500+297+976.8</f>
        <v>1773.8</v>
      </c>
      <c r="F89" s="4">
        <v>2000</v>
      </c>
      <c r="G89" s="3" t="s">
        <v>165</v>
      </c>
      <c r="H89" s="3" t="s">
        <v>26</v>
      </c>
      <c r="I89" s="3" t="s">
        <v>19</v>
      </c>
      <c r="J89" s="8" t="s">
        <v>13</v>
      </c>
      <c r="K89" s="3" t="s">
        <v>233</v>
      </c>
      <c r="L89" s="3"/>
      <c r="M89" s="3"/>
      <c r="N89" s="3"/>
      <c r="O89" s="3"/>
      <c r="P89" s="3"/>
      <c r="Q89" s="3"/>
      <c r="R89" s="3"/>
      <c r="S89" s="3"/>
    </row>
    <row r="90" spans="1:19" ht="45" x14ac:dyDescent="0.25">
      <c r="A90" s="3"/>
      <c r="B90" s="3">
        <v>87</v>
      </c>
      <c r="C90" s="3" t="s">
        <v>90</v>
      </c>
      <c r="D90" s="3" t="s">
        <v>85</v>
      </c>
      <c r="E90" s="40">
        <f>675.76+560+800</f>
        <v>2035.76</v>
      </c>
      <c r="F90" s="4">
        <v>10000</v>
      </c>
      <c r="G90" s="3" t="s">
        <v>165</v>
      </c>
      <c r="H90" s="3" t="s">
        <v>26</v>
      </c>
      <c r="I90" s="3" t="s">
        <v>19</v>
      </c>
      <c r="J90" s="8" t="s">
        <v>13</v>
      </c>
      <c r="K90" s="3" t="s">
        <v>181</v>
      </c>
      <c r="L90" s="3"/>
      <c r="M90" s="3"/>
      <c r="N90" s="3"/>
      <c r="O90" s="3"/>
      <c r="P90" s="3"/>
      <c r="Q90" s="3"/>
      <c r="R90" s="3"/>
      <c r="S90" s="3"/>
    </row>
    <row r="91" spans="1:19" ht="45" x14ac:dyDescent="0.25">
      <c r="A91" s="3"/>
      <c r="B91" s="1">
        <v>88</v>
      </c>
      <c r="C91" s="3" t="s">
        <v>90</v>
      </c>
      <c r="D91" s="3" t="s">
        <v>89</v>
      </c>
      <c r="E91" s="40">
        <f>299+400 +50+290+605+657.26+381.14</f>
        <v>2682.4</v>
      </c>
      <c r="F91" s="4">
        <v>3000</v>
      </c>
      <c r="G91" s="3" t="s">
        <v>165</v>
      </c>
      <c r="H91" s="3" t="s">
        <v>26</v>
      </c>
      <c r="I91" s="3" t="s">
        <v>19</v>
      </c>
      <c r="J91" s="8" t="s">
        <v>13</v>
      </c>
      <c r="K91" s="3" t="s">
        <v>180</v>
      </c>
      <c r="L91" s="3"/>
      <c r="M91" s="3"/>
      <c r="N91" s="3"/>
      <c r="O91" s="3"/>
      <c r="P91" s="3"/>
      <c r="Q91" s="3"/>
      <c r="R91" s="3"/>
      <c r="S91" s="3"/>
    </row>
    <row r="92" spans="1:19" ht="45" x14ac:dyDescent="0.25">
      <c r="A92" s="3"/>
      <c r="B92" s="1">
        <v>89</v>
      </c>
      <c r="C92" s="3" t="s">
        <v>91</v>
      </c>
      <c r="D92" s="3" t="s">
        <v>89</v>
      </c>
      <c r="E92" s="40">
        <f>120.45+142.67+48.73+162.36+98.8+302.34+92.25+49.75+48.4+43.7+336.44+78.98+156.2+44.11+48.73+45.32</f>
        <v>1819.23</v>
      </c>
      <c r="F92" s="4">
        <v>2000</v>
      </c>
      <c r="G92" s="3" t="s">
        <v>165</v>
      </c>
      <c r="H92" s="3" t="s">
        <v>26</v>
      </c>
      <c r="I92" s="3" t="s">
        <v>19</v>
      </c>
      <c r="J92" s="8" t="s">
        <v>13</v>
      </c>
      <c r="K92" s="3" t="s">
        <v>234</v>
      </c>
      <c r="L92" s="3"/>
      <c r="M92" s="3"/>
      <c r="N92" s="3"/>
      <c r="O92" s="3"/>
      <c r="P92" s="3"/>
      <c r="Q92" s="3"/>
      <c r="R92" s="3"/>
      <c r="S92" s="3"/>
    </row>
    <row r="93" spans="1:19" ht="45" x14ac:dyDescent="0.25">
      <c r="A93" s="3"/>
      <c r="B93" s="3">
        <v>90</v>
      </c>
      <c r="C93" s="3" t="s">
        <v>168</v>
      </c>
      <c r="D93" s="3" t="s">
        <v>89</v>
      </c>
      <c r="E93" s="40">
        <f>113.85+376.31</f>
        <v>490.15999999999997</v>
      </c>
      <c r="F93" s="4">
        <v>2000</v>
      </c>
      <c r="G93" s="3" t="s">
        <v>165</v>
      </c>
      <c r="H93" s="3" t="s">
        <v>26</v>
      </c>
      <c r="I93" s="3" t="s">
        <v>19</v>
      </c>
      <c r="J93" s="8" t="s">
        <v>13</v>
      </c>
      <c r="K93" s="3" t="s">
        <v>235</v>
      </c>
      <c r="L93" s="3"/>
      <c r="M93" s="3"/>
      <c r="N93" s="3"/>
      <c r="O93" s="3"/>
      <c r="P93" s="3"/>
      <c r="Q93" s="3"/>
      <c r="R93" s="3"/>
      <c r="S93" s="3"/>
    </row>
    <row r="94" spans="1:19" ht="45" x14ac:dyDescent="0.25">
      <c r="A94" s="3"/>
      <c r="B94" s="3">
        <v>91</v>
      </c>
      <c r="C94" s="3" t="s">
        <v>133</v>
      </c>
      <c r="D94" s="3" t="s">
        <v>85</v>
      </c>
      <c r="E94" s="40" t="s">
        <v>384</v>
      </c>
      <c r="F94" s="26" t="s">
        <v>384</v>
      </c>
      <c r="G94" s="3" t="s">
        <v>165</v>
      </c>
      <c r="H94" s="3" t="s">
        <v>81</v>
      </c>
      <c r="I94" s="3" t="s">
        <v>19</v>
      </c>
      <c r="J94" s="8" t="s">
        <v>13</v>
      </c>
      <c r="K94" s="3" t="s">
        <v>187</v>
      </c>
      <c r="L94" s="3"/>
      <c r="M94" s="3"/>
      <c r="N94" s="3"/>
      <c r="O94" s="3"/>
      <c r="P94" s="3"/>
      <c r="Q94" s="3"/>
      <c r="R94" s="3"/>
      <c r="S94" s="3"/>
    </row>
    <row r="95" spans="1:19" ht="45" x14ac:dyDescent="0.25">
      <c r="A95" s="3"/>
      <c r="B95" s="1">
        <v>92</v>
      </c>
      <c r="C95" s="3" t="s">
        <v>169</v>
      </c>
      <c r="D95" s="3" t="s">
        <v>87</v>
      </c>
      <c r="E95" s="40">
        <v>1080</v>
      </c>
      <c r="F95" s="4">
        <v>1080</v>
      </c>
      <c r="G95" s="3" t="s">
        <v>165</v>
      </c>
      <c r="H95" s="3" t="s">
        <v>81</v>
      </c>
      <c r="I95" s="3" t="s">
        <v>19</v>
      </c>
      <c r="J95" s="8" t="s">
        <v>13</v>
      </c>
      <c r="K95" s="3" t="s">
        <v>236</v>
      </c>
      <c r="L95" s="3"/>
      <c r="M95" s="3"/>
      <c r="N95" s="3"/>
      <c r="O95" s="3"/>
      <c r="P95" s="3"/>
      <c r="Q95" s="3"/>
      <c r="R95" s="3"/>
      <c r="S95" s="3"/>
    </row>
    <row r="96" spans="1:19" ht="45" x14ac:dyDescent="0.25">
      <c r="A96" s="3"/>
      <c r="B96" s="1">
        <v>93</v>
      </c>
      <c r="C96" s="3" t="s">
        <v>170</v>
      </c>
      <c r="D96" s="3" t="s">
        <v>83</v>
      </c>
      <c r="E96" s="40">
        <v>1025</v>
      </c>
      <c r="F96" s="4">
        <v>1025</v>
      </c>
      <c r="G96" s="3" t="s">
        <v>165</v>
      </c>
      <c r="H96" s="3" t="s">
        <v>81</v>
      </c>
      <c r="I96" s="3" t="s">
        <v>19</v>
      </c>
      <c r="J96" s="8" t="s">
        <v>13</v>
      </c>
      <c r="K96" s="3" t="s">
        <v>237</v>
      </c>
      <c r="L96" s="3"/>
      <c r="M96" s="3"/>
      <c r="N96" s="3"/>
      <c r="O96" s="3"/>
      <c r="P96" s="3"/>
      <c r="Q96" s="3"/>
      <c r="R96" s="3"/>
      <c r="S96" s="3"/>
    </row>
    <row r="97" spans="1:19" ht="45.75" x14ac:dyDescent="0.25">
      <c r="A97" s="3"/>
      <c r="B97" s="3">
        <v>94</v>
      </c>
      <c r="C97" s="3" t="s">
        <v>171</v>
      </c>
      <c r="D97" s="3" t="s">
        <v>172</v>
      </c>
      <c r="E97" s="43">
        <f>10*7</f>
        <v>70</v>
      </c>
      <c r="F97" s="4">
        <v>120</v>
      </c>
      <c r="G97" s="3" t="s">
        <v>165</v>
      </c>
      <c r="H97" s="3" t="s">
        <v>26</v>
      </c>
      <c r="I97" s="3" t="s">
        <v>19</v>
      </c>
      <c r="J97" s="8" t="s">
        <v>7</v>
      </c>
      <c r="K97" s="3" t="s">
        <v>238</v>
      </c>
      <c r="L97" s="3"/>
      <c r="M97" s="3"/>
      <c r="N97" s="3"/>
      <c r="O97" s="3"/>
      <c r="P97" s="3"/>
      <c r="Q97" s="3"/>
      <c r="R97" s="3"/>
      <c r="S97" s="3"/>
    </row>
    <row r="98" spans="1:19" ht="45.75" x14ac:dyDescent="0.25">
      <c r="A98" s="3"/>
      <c r="B98" s="3">
        <v>95</v>
      </c>
      <c r="C98" s="3" t="s">
        <v>171</v>
      </c>
      <c r="D98" s="3" t="s">
        <v>173</v>
      </c>
      <c r="E98" s="43">
        <f>20*3</f>
        <v>60</v>
      </c>
      <c r="F98" s="4">
        <v>80</v>
      </c>
      <c r="G98" s="3" t="s">
        <v>165</v>
      </c>
      <c r="H98" s="3" t="s">
        <v>26</v>
      </c>
      <c r="I98" s="3" t="s">
        <v>19</v>
      </c>
      <c r="J98" s="8" t="s">
        <v>7</v>
      </c>
      <c r="K98" s="3" t="s">
        <v>239</v>
      </c>
      <c r="L98" s="3"/>
      <c r="M98" s="3"/>
      <c r="N98" s="3"/>
      <c r="O98" s="3"/>
      <c r="P98" s="3"/>
      <c r="Q98" s="3"/>
      <c r="R98" s="3"/>
      <c r="S98" s="3"/>
    </row>
    <row r="99" spans="1:19" ht="45.75" x14ac:dyDescent="0.25">
      <c r="A99" s="3"/>
      <c r="B99" s="1">
        <v>96</v>
      </c>
      <c r="C99" s="3" t="s">
        <v>171</v>
      </c>
      <c r="D99" s="3" t="s">
        <v>174</v>
      </c>
      <c r="E99" s="43">
        <f>80+60+60+80+60+80+80+60</f>
        <v>560</v>
      </c>
      <c r="F99" s="4">
        <v>840</v>
      </c>
      <c r="G99" s="3" t="s">
        <v>165</v>
      </c>
      <c r="H99" s="3" t="s">
        <v>26</v>
      </c>
      <c r="I99" s="3" t="s">
        <v>19</v>
      </c>
      <c r="J99" s="8" t="s">
        <v>7</v>
      </c>
      <c r="K99" s="3" t="s">
        <v>240</v>
      </c>
      <c r="L99" s="3"/>
      <c r="M99" s="3"/>
      <c r="N99" s="3"/>
      <c r="O99" s="3"/>
      <c r="P99" s="3"/>
      <c r="Q99" s="3"/>
      <c r="R99" s="3"/>
      <c r="S99" s="3"/>
    </row>
    <row r="100" spans="1:19" ht="45" x14ac:dyDescent="0.25">
      <c r="A100" s="3"/>
      <c r="B100" s="1">
        <v>97</v>
      </c>
      <c r="C100" s="3" t="s">
        <v>175</v>
      </c>
      <c r="D100" s="3" t="s">
        <v>85</v>
      </c>
      <c r="E100" s="40">
        <f>900.03+3029.1+1635.24+1090.16+543.02+2436.57+814.52+2180.32+2417.67+1657.72+273.7+821.07+821.08+1080.42+540.66+540.42+18683.6+5987.74+2171.77</f>
        <v>47624.81</v>
      </c>
      <c r="F100" s="4">
        <v>50000</v>
      </c>
      <c r="G100" s="3" t="s">
        <v>165</v>
      </c>
      <c r="H100" s="3" t="s">
        <v>26</v>
      </c>
      <c r="I100" s="3" t="s">
        <v>19</v>
      </c>
      <c r="J100" s="8" t="s">
        <v>13</v>
      </c>
      <c r="K100" s="3" t="s">
        <v>241</v>
      </c>
      <c r="L100" s="3"/>
      <c r="M100" s="3"/>
      <c r="N100" s="3"/>
      <c r="O100" s="3"/>
      <c r="P100" s="3"/>
      <c r="Q100" s="3"/>
      <c r="R100" s="3"/>
      <c r="S100" s="3"/>
    </row>
    <row r="101" spans="1:19" ht="45" x14ac:dyDescent="0.25">
      <c r="A101" s="3"/>
      <c r="B101" s="3">
        <v>98</v>
      </c>
      <c r="C101" s="3" t="s">
        <v>175</v>
      </c>
      <c r="D101" s="3" t="s">
        <v>89</v>
      </c>
      <c r="E101" s="40">
        <f>147.5+452.65+355.18+207.68+119.18+468.46+447.22+741.04+368.16+492.06+112.1+180.54+401.2+148.68+533.36+224.2+173.46+520.38+1502.14+493.24+1285.02+248.98+119.18+237.18+82.59+192.34+47.2+857.86+62.54+837.8+118+741.04+246.62+532.18+341.02+357.54</f>
        <v>14395.520000000002</v>
      </c>
      <c r="F101" s="4">
        <v>15000</v>
      </c>
      <c r="G101" s="3" t="s">
        <v>165</v>
      </c>
      <c r="H101" s="3" t="s">
        <v>26</v>
      </c>
      <c r="I101" s="3" t="s">
        <v>19</v>
      </c>
      <c r="J101" s="8" t="s">
        <v>13</v>
      </c>
      <c r="K101" s="3" t="s">
        <v>242</v>
      </c>
      <c r="L101" s="3"/>
      <c r="M101" s="3"/>
      <c r="N101" s="3"/>
      <c r="O101" s="3"/>
      <c r="P101" s="3"/>
      <c r="Q101" s="3"/>
      <c r="R101" s="3"/>
      <c r="S101" s="3"/>
    </row>
    <row r="102" spans="1:19" ht="45" x14ac:dyDescent="0.25">
      <c r="A102" s="3"/>
      <c r="B102" s="3">
        <v>99</v>
      </c>
      <c r="C102" s="3" t="s">
        <v>103</v>
      </c>
      <c r="D102" s="3" t="s">
        <v>104</v>
      </c>
      <c r="E102" s="40">
        <v>1920.3</v>
      </c>
      <c r="F102" s="4">
        <v>1920.3</v>
      </c>
      <c r="G102" s="3" t="s">
        <v>165</v>
      </c>
      <c r="H102" s="3" t="s">
        <v>81</v>
      </c>
      <c r="I102" s="3" t="s">
        <v>19</v>
      </c>
      <c r="J102" s="8" t="s">
        <v>13</v>
      </c>
      <c r="K102" s="3" t="s">
        <v>243</v>
      </c>
      <c r="L102" s="3"/>
      <c r="M102" s="3"/>
      <c r="N102" s="3"/>
      <c r="O102" s="3"/>
      <c r="P102" s="3"/>
      <c r="Q102" s="3"/>
      <c r="R102" s="3"/>
      <c r="S102" s="3"/>
    </row>
    <row r="103" spans="1:19" ht="45" x14ac:dyDescent="0.25">
      <c r="A103" s="3"/>
      <c r="B103" s="1">
        <v>100</v>
      </c>
      <c r="C103" s="3" t="s">
        <v>192</v>
      </c>
      <c r="D103" s="3" t="s">
        <v>193</v>
      </c>
      <c r="E103" s="40" t="s">
        <v>228</v>
      </c>
      <c r="F103" s="4">
        <v>70</v>
      </c>
      <c r="G103" s="3" t="s">
        <v>165</v>
      </c>
      <c r="H103" s="3" t="s">
        <v>81</v>
      </c>
      <c r="I103" s="3" t="s">
        <v>19</v>
      </c>
      <c r="J103" s="10" t="s">
        <v>11</v>
      </c>
      <c r="K103" s="3" t="s">
        <v>196</v>
      </c>
      <c r="L103" s="3"/>
      <c r="M103" s="3"/>
      <c r="N103" s="3"/>
      <c r="O103" s="3"/>
      <c r="P103" s="3"/>
      <c r="Q103" s="3"/>
      <c r="R103" s="3"/>
      <c r="S103" s="3"/>
    </row>
    <row r="104" spans="1:19" ht="45" x14ac:dyDescent="0.25">
      <c r="A104" s="3"/>
      <c r="B104" s="1">
        <v>101</v>
      </c>
      <c r="C104" s="3" t="s">
        <v>107</v>
      </c>
      <c r="D104" s="3" t="s">
        <v>108</v>
      </c>
      <c r="E104" s="40">
        <v>99.74</v>
      </c>
      <c r="F104" s="4">
        <v>99.74</v>
      </c>
      <c r="G104" s="3" t="s">
        <v>165</v>
      </c>
      <c r="H104" s="3" t="s">
        <v>81</v>
      </c>
      <c r="I104" s="3" t="s">
        <v>19</v>
      </c>
      <c r="J104" s="10" t="s">
        <v>11</v>
      </c>
      <c r="K104" s="3" t="s">
        <v>244</v>
      </c>
      <c r="L104" s="3"/>
      <c r="M104" s="3"/>
      <c r="N104" s="3"/>
      <c r="O104" s="3"/>
      <c r="P104" s="3"/>
      <c r="Q104" s="3"/>
      <c r="R104" s="3"/>
      <c r="S104" s="3"/>
    </row>
    <row r="105" spans="1:19" ht="45" x14ac:dyDescent="0.25">
      <c r="A105" s="3"/>
      <c r="B105" s="3">
        <v>102</v>
      </c>
      <c r="C105" s="3" t="s">
        <v>358</v>
      </c>
      <c r="D105" s="3" t="s">
        <v>359</v>
      </c>
      <c r="E105" s="40">
        <f>147.5+118+118+118+118+118+118+118+118+118+106.2+118+118+118+88.5+118+118+118+118+118+118+118+118+118+118+59</f>
        <v>2997.2</v>
      </c>
      <c r="F105" s="4">
        <v>3540</v>
      </c>
      <c r="G105" s="3" t="s">
        <v>165</v>
      </c>
      <c r="H105" s="3" t="s">
        <v>26</v>
      </c>
      <c r="I105" s="3" t="s">
        <v>19</v>
      </c>
      <c r="J105" s="10" t="s">
        <v>11</v>
      </c>
      <c r="K105" s="3" t="s">
        <v>245</v>
      </c>
      <c r="L105" s="3"/>
      <c r="M105" s="3"/>
      <c r="N105" s="3"/>
      <c r="O105" s="3"/>
      <c r="P105" s="3"/>
      <c r="Q105" s="3"/>
      <c r="R105" s="3"/>
      <c r="S105" s="3"/>
    </row>
    <row r="106" spans="1:19" ht="45" x14ac:dyDescent="0.25">
      <c r="A106" s="3"/>
      <c r="B106" s="3">
        <v>103</v>
      </c>
      <c r="C106" s="3" t="s">
        <v>218</v>
      </c>
      <c r="D106" s="3" t="s">
        <v>85</v>
      </c>
      <c r="E106" s="40">
        <f>540.32+5583.6+283.62+1410.85+580.98+5676.06</f>
        <v>14075.43</v>
      </c>
      <c r="F106" s="4">
        <v>100000</v>
      </c>
      <c r="G106" s="3" t="s">
        <v>219</v>
      </c>
      <c r="H106" s="3" t="s">
        <v>26</v>
      </c>
      <c r="I106" s="3" t="s">
        <v>19</v>
      </c>
      <c r="J106" s="8" t="s">
        <v>13</v>
      </c>
      <c r="K106" s="3" t="s">
        <v>246</v>
      </c>
      <c r="L106" s="3"/>
      <c r="M106" s="3"/>
      <c r="N106" s="3"/>
      <c r="O106" s="3"/>
      <c r="P106" s="3"/>
      <c r="Q106" s="3"/>
      <c r="R106" s="3"/>
      <c r="S106" s="3"/>
    </row>
    <row r="107" spans="1:19" ht="45" x14ac:dyDescent="0.25">
      <c r="A107" s="3"/>
      <c r="B107" s="1">
        <v>104</v>
      </c>
      <c r="C107" s="3" t="s">
        <v>93</v>
      </c>
      <c r="D107" s="3" t="s">
        <v>85</v>
      </c>
      <c r="E107" s="40">
        <f>600.74+2556.3+2115.18+500.43+1892.96+471.24+942.48+2080.26+755.49+708.78+705.6+465.9+952.98+1302.77+323.79+1885.76+1188.8+1903.37</f>
        <v>21352.829999999998</v>
      </c>
      <c r="F107" s="4">
        <v>50000</v>
      </c>
      <c r="G107" s="3" t="s">
        <v>219</v>
      </c>
      <c r="H107" s="3" t="s">
        <v>26</v>
      </c>
      <c r="I107" s="3" t="s">
        <v>19</v>
      </c>
      <c r="J107" s="8" t="s">
        <v>13</v>
      </c>
      <c r="K107" s="3" t="s">
        <v>290</v>
      </c>
      <c r="L107" s="3"/>
      <c r="M107" s="3"/>
      <c r="N107" s="3"/>
      <c r="O107" s="3"/>
      <c r="P107" s="3"/>
      <c r="Q107" s="3"/>
      <c r="R107" s="3"/>
      <c r="S107" s="3"/>
    </row>
    <row r="108" spans="1:19" ht="45" x14ac:dyDescent="0.25">
      <c r="A108" s="3"/>
      <c r="B108" s="1">
        <v>105</v>
      </c>
      <c r="C108" s="3" t="s">
        <v>93</v>
      </c>
      <c r="D108" s="3" t="s">
        <v>89</v>
      </c>
      <c r="E108" s="40">
        <f>330+500+800+120+400+120+240+120+450+600+150+160+420</f>
        <v>4410</v>
      </c>
      <c r="F108" s="4">
        <v>5000</v>
      </c>
      <c r="G108" s="3" t="s">
        <v>219</v>
      </c>
      <c r="H108" s="3" t="s">
        <v>26</v>
      </c>
      <c r="I108" s="3" t="s">
        <v>19</v>
      </c>
      <c r="J108" s="8" t="s">
        <v>13</v>
      </c>
      <c r="K108" s="3" t="s">
        <v>289</v>
      </c>
      <c r="L108" s="3"/>
      <c r="M108" s="3"/>
      <c r="N108" s="3"/>
      <c r="O108" s="3"/>
      <c r="P108" s="3"/>
      <c r="Q108" s="3"/>
      <c r="R108" s="3"/>
      <c r="S108" s="3"/>
    </row>
    <row r="109" spans="1:19" ht="45" x14ac:dyDescent="0.25">
      <c r="A109" s="3"/>
      <c r="B109" s="3">
        <v>106</v>
      </c>
      <c r="C109" s="3" t="s">
        <v>133</v>
      </c>
      <c r="D109" s="3" t="s">
        <v>85</v>
      </c>
      <c r="E109" s="40">
        <f>2964.7+2629.71+2330.03+1090.16+4873.14+541.46+7341.99+6564.16+801.21+547.4+33592.52+3284.4+1915.3+3295.5+1236.33+812.88+6927.73+1081.55+3021.13+1112.4+12128.5</f>
        <v>98092.2</v>
      </c>
      <c r="F109" s="4">
        <v>100000</v>
      </c>
      <c r="G109" s="3" t="s">
        <v>219</v>
      </c>
      <c r="H109" s="3" t="s">
        <v>26</v>
      </c>
      <c r="I109" s="3" t="s">
        <v>19</v>
      </c>
      <c r="J109" s="8" t="s">
        <v>13</v>
      </c>
      <c r="K109" s="3" t="s">
        <v>247</v>
      </c>
      <c r="L109" s="3"/>
      <c r="M109" s="3"/>
      <c r="N109" s="3"/>
      <c r="O109" s="3"/>
      <c r="P109" s="3"/>
      <c r="Q109" s="3"/>
      <c r="R109" s="3"/>
      <c r="S109" s="3"/>
    </row>
    <row r="110" spans="1:19" ht="45" x14ac:dyDescent="0.25">
      <c r="A110" s="3"/>
      <c r="B110" s="3">
        <v>107</v>
      </c>
      <c r="C110" s="3" t="s">
        <v>220</v>
      </c>
      <c r="D110" s="3" t="s">
        <v>85</v>
      </c>
      <c r="E110" s="40">
        <f>601.2+5879.2+9978.21+16191.8+1088.4+4024.43+8836.48+28135.58+11487.84+1367.95+11748.03+547.4+1906.44+5414.28+2442.41+1627.3+269.88+1079.78+1080.72+808.32+806.01+2149.47+4050.6+3002.42+1946.56+1946.12+4729.57+833.74+2781+1697.46+3902.22+3621.07+1748.25+1325.07+3610.59</f>
        <v>152665.79999999999</v>
      </c>
      <c r="F110" s="4">
        <v>300000</v>
      </c>
      <c r="G110" s="3" t="s">
        <v>219</v>
      </c>
      <c r="H110" s="3" t="s">
        <v>26</v>
      </c>
      <c r="I110" s="3" t="s">
        <v>19</v>
      </c>
      <c r="J110" s="8" t="s">
        <v>13</v>
      </c>
      <c r="K110" s="3" t="s">
        <v>248</v>
      </c>
      <c r="L110" s="3"/>
      <c r="M110" s="3"/>
      <c r="N110" s="3"/>
      <c r="O110" s="3"/>
      <c r="P110" s="3"/>
      <c r="Q110" s="3"/>
      <c r="R110" s="3"/>
      <c r="S110" s="3"/>
    </row>
    <row r="111" spans="1:19" ht="101.25" x14ac:dyDescent="0.25">
      <c r="A111" s="3"/>
      <c r="B111" s="1">
        <v>108</v>
      </c>
      <c r="C111" s="3" t="s">
        <v>253</v>
      </c>
      <c r="D111" s="3" t="s">
        <v>254</v>
      </c>
      <c r="E111" s="40">
        <f>184+60+15+295+122+100+15</f>
        <v>791</v>
      </c>
      <c r="F111" s="4">
        <v>1000</v>
      </c>
      <c r="G111" s="3" t="s">
        <v>219</v>
      </c>
      <c r="H111" s="3" t="s">
        <v>26</v>
      </c>
      <c r="I111" s="3" t="s">
        <v>19</v>
      </c>
      <c r="J111" s="8" t="s">
        <v>21</v>
      </c>
      <c r="K111" s="3" t="s">
        <v>355</v>
      </c>
      <c r="L111" s="3"/>
      <c r="M111" s="3"/>
      <c r="N111" s="3"/>
      <c r="O111" s="3"/>
      <c r="P111" s="3"/>
      <c r="Q111" s="3"/>
      <c r="R111" s="3"/>
      <c r="S111" s="3"/>
    </row>
    <row r="112" spans="1:19" ht="78.75" x14ac:dyDescent="0.25">
      <c r="A112" s="3"/>
      <c r="B112" s="1">
        <v>109</v>
      </c>
      <c r="C112" s="3" t="s">
        <v>255</v>
      </c>
      <c r="D112" s="3" t="s">
        <v>256</v>
      </c>
      <c r="E112" s="40">
        <f>155+15+479+40+155</f>
        <v>844</v>
      </c>
      <c r="F112" s="4">
        <v>1000</v>
      </c>
      <c r="G112" s="3" t="s">
        <v>219</v>
      </c>
      <c r="H112" s="3" t="s">
        <v>26</v>
      </c>
      <c r="I112" s="3" t="s">
        <v>19</v>
      </c>
      <c r="J112" s="8" t="s">
        <v>21</v>
      </c>
      <c r="K112" s="3" t="s">
        <v>249</v>
      </c>
      <c r="L112" s="3"/>
      <c r="M112" s="3"/>
      <c r="N112" s="3"/>
      <c r="O112" s="3"/>
      <c r="P112" s="3"/>
      <c r="Q112" s="3"/>
      <c r="R112" s="3"/>
      <c r="S112" s="3"/>
    </row>
    <row r="113" spans="1:19" ht="45" x14ac:dyDescent="0.25">
      <c r="A113" s="3"/>
      <c r="B113" s="3">
        <v>110</v>
      </c>
      <c r="C113" s="3" t="s">
        <v>257</v>
      </c>
      <c r="D113" s="3" t="s">
        <v>258</v>
      </c>
      <c r="E113" s="40">
        <f>88.5*4</f>
        <v>354</v>
      </c>
      <c r="F113" s="4">
        <v>1500</v>
      </c>
      <c r="G113" s="3" t="s">
        <v>219</v>
      </c>
      <c r="H113" s="3" t="s">
        <v>26</v>
      </c>
      <c r="I113" s="3" t="s">
        <v>19</v>
      </c>
      <c r="J113" s="8" t="s">
        <v>29</v>
      </c>
      <c r="K113" s="3" t="s">
        <v>250</v>
      </c>
      <c r="L113" s="3"/>
      <c r="M113" s="3"/>
      <c r="N113" s="3"/>
      <c r="O113" s="3"/>
      <c r="P113" s="3"/>
      <c r="Q113" s="3"/>
      <c r="R113" s="3"/>
      <c r="S113" s="3"/>
    </row>
    <row r="114" spans="1:19" ht="90" x14ac:dyDescent="0.25">
      <c r="A114" s="3"/>
      <c r="B114" s="3">
        <v>111</v>
      </c>
      <c r="C114" s="3" t="s">
        <v>259</v>
      </c>
      <c r="D114" s="3" t="s">
        <v>260</v>
      </c>
      <c r="E114" s="40">
        <v>13532.11</v>
      </c>
      <c r="F114" s="4">
        <v>13658.5</v>
      </c>
      <c r="G114" s="3" t="s">
        <v>219</v>
      </c>
      <c r="H114" s="3" t="s">
        <v>81</v>
      </c>
      <c r="I114" s="3" t="s">
        <v>19</v>
      </c>
      <c r="J114" s="10" t="s">
        <v>100</v>
      </c>
      <c r="K114" s="3" t="s">
        <v>343</v>
      </c>
      <c r="L114" s="3"/>
      <c r="M114" s="3"/>
      <c r="N114" s="3"/>
      <c r="O114" s="3"/>
      <c r="P114" s="3"/>
      <c r="Q114" s="3"/>
      <c r="R114" s="3"/>
      <c r="S114" s="3"/>
    </row>
    <row r="115" spans="1:19" ht="45" x14ac:dyDescent="0.25">
      <c r="A115" s="3"/>
      <c r="B115" s="1">
        <v>112</v>
      </c>
      <c r="C115" s="3" t="s">
        <v>261</v>
      </c>
      <c r="D115" s="3" t="s">
        <v>85</v>
      </c>
      <c r="E115" s="40" t="s">
        <v>385</v>
      </c>
      <c r="F115" s="4">
        <v>2433.75</v>
      </c>
      <c r="G115" s="3" t="s">
        <v>219</v>
      </c>
      <c r="H115" s="3" t="s">
        <v>81</v>
      </c>
      <c r="I115" s="3" t="s">
        <v>19</v>
      </c>
      <c r="J115" s="8" t="s">
        <v>13</v>
      </c>
      <c r="K115" s="3" t="s">
        <v>344</v>
      </c>
      <c r="L115" s="3"/>
      <c r="M115" s="3"/>
      <c r="N115" s="3"/>
      <c r="O115" s="3"/>
      <c r="P115" s="3"/>
      <c r="Q115" s="3"/>
      <c r="R115" s="3"/>
      <c r="S115" s="3"/>
    </row>
    <row r="116" spans="1:19" ht="45" x14ac:dyDescent="0.25">
      <c r="A116" s="3"/>
      <c r="B116" s="1">
        <v>113</v>
      </c>
      <c r="C116" s="3" t="s">
        <v>262</v>
      </c>
      <c r="D116" s="3" t="s">
        <v>83</v>
      </c>
      <c r="E116" s="40" t="s">
        <v>357</v>
      </c>
      <c r="F116" s="4">
        <v>162.5</v>
      </c>
      <c r="G116" s="3" t="s">
        <v>281</v>
      </c>
      <c r="H116" s="3" t="s">
        <v>81</v>
      </c>
      <c r="I116" s="3" t="s">
        <v>19</v>
      </c>
      <c r="J116" s="8" t="s">
        <v>13</v>
      </c>
      <c r="K116" s="3" t="s">
        <v>345</v>
      </c>
      <c r="L116" s="3"/>
      <c r="M116" s="3"/>
      <c r="N116" s="3"/>
      <c r="O116" s="3"/>
      <c r="P116" s="3"/>
      <c r="Q116" s="3"/>
      <c r="R116" s="3"/>
      <c r="S116" s="3"/>
    </row>
    <row r="117" spans="1:19" ht="22.5" x14ac:dyDescent="0.25">
      <c r="A117" s="3"/>
      <c r="B117" s="3">
        <v>114</v>
      </c>
      <c r="C117" s="3" t="s">
        <v>263</v>
      </c>
      <c r="D117" s="3" t="s">
        <v>264</v>
      </c>
      <c r="E117" s="41">
        <f>1730+1730+1730+1730+1730+1730+1730+1725+3450</f>
        <v>17285</v>
      </c>
      <c r="F117" s="4">
        <v>25935</v>
      </c>
      <c r="G117" s="3" t="s">
        <v>281</v>
      </c>
      <c r="H117" s="3" t="s">
        <v>26</v>
      </c>
      <c r="I117" s="3" t="s">
        <v>9</v>
      </c>
      <c r="J117" s="3" t="s">
        <v>282</v>
      </c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45" x14ac:dyDescent="0.25">
      <c r="A118" s="3"/>
      <c r="B118" s="3">
        <v>115</v>
      </c>
      <c r="C118" s="3" t="s">
        <v>265</v>
      </c>
      <c r="D118" s="3" t="s">
        <v>266</v>
      </c>
      <c r="E118" s="40">
        <v>3540</v>
      </c>
      <c r="F118" s="4">
        <v>3540</v>
      </c>
      <c r="G118" s="3" t="s">
        <v>281</v>
      </c>
      <c r="H118" s="3" t="s">
        <v>81</v>
      </c>
      <c r="I118" s="3" t="s">
        <v>19</v>
      </c>
      <c r="J118" s="10" t="s">
        <v>11</v>
      </c>
      <c r="K118" s="3" t="s">
        <v>346</v>
      </c>
      <c r="L118" s="3"/>
      <c r="M118" s="3"/>
      <c r="N118" s="3"/>
      <c r="O118" s="3"/>
      <c r="P118" s="3"/>
      <c r="Q118" s="3"/>
      <c r="R118" s="3"/>
      <c r="S118" s="3"/>
    </row>
    <row r="119" spans="1:19" ht="101.25" x14ac:dyDescent="0.25">
      <c r="A119" s="3"/>
      <c r="B119" s="1">
        <v>116</v>
      </c>
      <c r="C119" s="3" t="s">
        <v>267</v>
      </c>
      <c r="D119" s="3" t="s">
        <v>268</v>
      </c>
      <c r="E119" s="40" t="s">
        <v>386</v>
      </c>
      <c r="F119" s="4">
        <v>56050</v>
      </c>
      <c r="G119" s="3" t="s">
        <v>283</v>
      </c>
      <c r="H119" s="3" t="s">
        <v>81</v>
      </c>
      <c r="I119" s="3" t="s">
        <v>19</v>
      </c>
      <c r="J119" s="10" t="s">
        <v>284</v>
      </c>
      <c r="K119" s="3" t="s">
        <v>251</v>
      </c>
      <c r="L119" s="3"/>
      <c r="M119" s="3"/>
      <c r="N119" s="3"/>
      <c r="O119" s="3"/>
      <c r="P119" s="3"/>
      <c r="Q119" s="3"/>
      <c r="R119" s="3"/>
      <c r="S119" s="3"/>
    </row>
    <row r="120" spans="1:19" ht="101.25" x14ac:dyDescent="0.25">
      <c r="A120" s="3"/>
      <c r="B120" s="1">
        <v>117</v>
      </c>
      <c r="C120" s="3" t="s">
        <v>269</v>
      </c>
      <c r="D120" s="3" t="s">
        <v>270</v>
      </c>
      <c r="E120" s="40">
        <v>28099.99</v>
      </c>
      <c r="F120" s="4">
        <v>28715</v>
      </c>
      <c r="G120" s="3" t="s">
        <v>283</v>
      </c>
      <c r="H120" s="3" t="s">
        <v>81</v>
      </c>
      <c r="I120" s="3" t="s">
        <v>19</v>
      </c>
      <c r="J120" s="10" t="s">
        <v>284</v>
      </c>
      <c r="K120" s="3" t="s">
        <v>252</v>
      </c>
      <c r="L120" s="3"/>
      <c r="M120" s="3"/>
      <c r="N120" s="3"/>
      <c r="O120" s="3"/>
      <c r="P120" s="3"/>
      <c r="Q120" s="3"/>
      <c r="R120" s="3"/>
      <c r="S120" s="3"/>
    </row>
    <row r="121" spans="1:19" ht="90" x14ac:dyDescent="0.25">
      <c r="A121" s="3"/>
      <c r="B121" s="3">
        <v>118</v>
      </c>
      <c r="C121" s="3" t="s">
        <v>271</v>
      </c>
      <c r="D121" s="3" t="s">
        <v>272</v>
      </c>
      <c r="E121" s="40" t="s">
        <v>425</v>
      </c>
      <c r="F121" s="4">
        <v>181675.6</v>
      </c>
      <c r="G121" s="3" t="s">
        <v>283</v>
      </c>
      <c r="H121" s="3" t="s">
        <v>81</v>
      </c>
      <c r="I121" s="3" t="s">
        <v>19</v>
      </c>
      <c r="J121" s="10" t="s">
        <v>285</v>
      </c>
      <c r="K121" s="3" t="s">
        <v>347</v>
      </c>
      <c r="L121" s="3"/>
      <c r="M121" s="3"/>
      <c r="N121" s="3"/>
      <c r="O121" s="3"/>
      <c r="P121" s="3"/>
      <c r="Q121" s="3"/>
      <c r="R121" s="3"/>
      <c r="S121" s="3"/>
    </row>
    <row r="122" spans="1:19" ht="45" x14ac:dyDescent="0.25">
      <c r="A122" s="3"/>
      <c r="B122" s="3">
        <v>119</v>
      </c>
      <c r="C122" s="3" t="s">
        <v>122</v>
      </c>
      <c r="D122" s="3" t="s">
        <v>85</v>
      </c>
      <c r="E122" s="40" t="s">
        <v>387</v>
      </c>
      <c r="F122" s="26" t="s">
        <v>387</v>
      </c>
      <c r="G122" s="3" t="s">
        <v>286</v>
      </c>
      <c r="H122" s="3" t="s">
        <v>81</v>
      </c>
      <c r="I122" s="3" t="s">
        <v>19</v>
      </c>
      <c r="J122" s="8" t="s">
        <v>13</v>
      </c>
      <c r="K122" s="3" t="s">
        <v>362</v>
      </c>
      <c r="L122" s="3"/>
      <c r="M122" s="3"/>
      <c r="N122" s="3"/>
      <c r="O122" s="3"/>
      <c r="P122" s="3"/>
      <c r="Q122" s="3"/>
      <c r="R122" s="3"/>
      <c r="S122" s="3"/>
    </row>
    <row r="123" spans="1:19" s="19" customFormat="1" ht="45" x14ac:dyDescent="0.25">
      <c r="A123" s="18"/>
      <c r="B123" s="1">
        <v>120</v>
      </c>
      <c r="C123" s="3" t="s">
        <v>273</v>
      </c>
      <c r="D123" s="3" t="s">
        <v>89</v>
      </c>
      <c r="E123" s="40">
        <f>150 +400+300+400+100+700+400+1200+880+140+50+50+50+100+400+100+100+650</f>
        <v>6170</v>
      </c>
      <c r="F123" s="4">
        <v>7000</v>
      </c>
      <c r="G123" s="3" t="s">
        <v>286</v>
      </c>
      <c r="H123" s="3" t="s">
        <v>26</v>
      </c>
      <c r="I123" s="3" t="s">
        <v>19</v>
      </c>
      <c r="J123" s="8" t="s">
        <v>13</v>
      </c>
      <c r="K123" s="3" t="s">
        <v>348</v>
      </c>
      <c r="L123" s="18"/>
      <c r="M123" s="18"/>
      <c r="N123" s="18"/>
      <c r="O123" s="18"/>
      <c r="P123" s="18"/>
      <c r="Q123" s="18"/>
      <c r="R123" s="18"/>
      <c r="S123" s="18"/>
    </row>
    <row r="124" spans="1:19" ht="45" x14ac:dyDescent="0.25">
      <c r="A124" s="3"/>
      <c r="B124" s="1">
        <v>121</v>
      </c>
      <c r="C124" s="3" t="s">
        <v>274</v>
      </c>
      <c r="D124" s="3" t="s">
        <v>89</v>
      </c>
      <c r="E124" s="40">
        <v>399.3</v>
      </c>
      <c r="F124" s="4">
        <v>400</v>
      </c>
      <c r="G124" s="3" t="s">
        <v>286</v>
      </c>
      <c r="H124" s="3" t="s">
        <v>81</v>
      </c>
      <c r="I124" s="3" t="s">
        <v>19</v>
      </c>
      <c r="J124" s="8" t="s">
        <v>13</v>
      </c>
      <c r="K124" s="3" t="s">
        <v>349</v>
      </c>
      <c r="L124" s="3"/>
      <c r="M124" s="3"/>
      <c r="N124" s="3"/>
      <c r="O124" s="3"/>
      <c r="P124" s="3"/>
      <c r="Q124" s="3"/>
      <c r="R124" s="3"/>
      <c r="S124" s="3"/>
    </row>
    <row r="125" spans="1:19" ht="45" x14ac:dyDescent="0.25">
      <c r="A125" s="3"/>
      <c r="B125" s="3">
        <v>122</v>
      </c>
      <c r="C125" s="3" t="s">
        <v>86</v>
      </c>
      <c r="D125" s="3" t="s">
        <v>87</v>
      </c>
      <c r="E125" s="40">
        <v>2300</v>
      </c>
      <c r="F125" s="4">
        <v>2300</v>
      </c>
      <c r="G125" s="3" t="s">
        <v>286</v>
      </c>
      <c r="H125" s="3" t="s">
        <v>81</v>
      </c>
      <c r="I125" s="3" t="s">
        <v>19</v>
      </c>
      <c r="J125" s="8" t="s">
        <v>13</v>
      </c>
      <c r="K125" s="3" t="s">
        <v>350</v>
      </c>
      <c r="L125" s="3"/>
      <c r="M125" s="3"/>
      <c r="N125" s="3"/>
      <c r="O125" s="3"/>
      <c r="P125" s="3"/>
      <c r="Q125" s="3"/>
      <c r="R125" s="3"/>
      <c r="S125" s="3"/>
    </row>
    <row r="126" spans="1:19" ht="45" x14ac:dyDescent="0.25">
      <c r="A126" s="3"/>
      <c r="B126" s="3">
        <v>123</v>
      </c>
      <c r="C126" s="3" t="s">
        <v>275</v>
      </c>
      <c r="D126" s="3" t="s">
        <v>83</v>
      </c>
      <c r="E126" s="40" t="s">
        <v>360</v>
      </c>
      <c r="F126" s="4">
        <v>950</v>
      </c>
      <c r="G126" s="3" t="s">
        <v>286</v>
      </c>
      <c r="H126" s="3" t="s">
        <v>81</v>
      </c>
      <c r="I126" s="3" t="s">
        <v>19</v>
      </c>
      <c r="J126" s="8" t="s">
        <v>13</v>
      </c>
      <c r="K126" s="3" t="s">
        <v>351</v>
      </c>
      <c r="L126" s="3"/>
      <c r="M126" s="3"/>
      <c r="N126" s="3"/>
      <c r="O126" s="3"/>
      <c r="P126" s="3"/>
      <c r="Q126" s="3"/>
      <c r="R126" s="3"/>
      <c r="S126" s="3"/>
    </row>
    <row r="127" spans="1:19" ht="45" x14ac:dyDescent="0.25">
      <c r="A127" s="3"/>
      <c r="B127" s="1">
        <v>124</v>
      </c>
      <c r="C127" s="3" t="s">
        <v>103</v>
      </c>
      <c r="D127" s="3" t="s">
        <v>104</v>
      </c>
      <c r="E127" s="40">
        <v>14895</v>
      </c>
      <c r="F127" s="4">
        <v>14895</v>
      </c>
      <c r="G127" s="3" t="s">
        <v>286</v>
      </c>
      <c r="H127" s="3" t="s">
        <v>81</v>
      </c>
      <c r="I127" s="3" t="s">
        <v>19</v>
      </c>
      <c r="J127" s="8" t="s">
        <v>13</v>
      </c>
      <c r="K127" s="3" t="s">
        <v>361</v>
      </c>
      <c r="L127" s="3"/>
      <c r="M127" s="3"/>
      <c r="N127" s="3"/>
      <c r="O127" s="3"/>
      <c r="P127" s="3"/>
      <c r="Q127" s="3"/>
      <c r="R127" s="3"/>
      <c r="S127" s="3"/>
    </row>
    <row r="128" spans="1:19" ht="101.25" x14ac:dyDescent="0.25">
      <c r="A128" s="3"/>
      <c r="B128" s="1">
        <v>125</v>
      </c>
      <c r="C128" s="3" t="s">
        <v>276</v>
      </c>
      <c r="D128" s="3" t="s">
        <v>277</v>
      </c>
      <c r="E128" s="40" t="s">
        <v>506</v>
      </c>
      <c r="F128" s="4">
        <v>3168</v>
      </c>
      <c r="G128" s="3" t="s">
        <v>286</v>
      </c>
      <c r="H128" s="3" t="s">
        <v>81</v>
      </c>
      <c r="I128" s="3" t="s">
        <v>19</v>
      </c>
      <c r="J128" s="10" t="s">
        <v>284</v>
      </c>
      <c r="K128" s="3" t="s">
        <v>352</v>
      </c>
      <c r="L128" s="3"/>
      <c r="M128" s="3"/>
      <c r="N128" s="3"/>
      <c r="O128" s="3"/>
      <c r="P128" s="3"/>
      <c r="Q128" s="3"/>
      <c r="R128" s="3"/>
      <c r="S128" s="3"/>
    </row>
    <row r="129" spans="1:16380" ht="45" x14ac:dyDescent="0.25">
      <c r="A129" s="3"/>
      <c r="B129" s="3">
        <v>125</v>
      </c>
      <c r="C129" s="3" t="s">
        <v>255</v>
      </c>
      <c r="D129" s="3" t="s">
        <v>767</v>
      </c>
      <c r="E129" s="40">
        <f>1580+321</f>
        <v>1901</v>
      </c>
      <c r="F129" s="4">
        <v>4900</v>
      </c>
      <c r="G129" s="3" t="s">
        <v>768</v>
      </c>
      <c r="H129" s="3" t="s">
        <v>26</v>
      </c>
      <c r="I129" s="3" t="s">
        <v>19</v>
      </c>
      <c r="J129" s="8" t="s">
        <v>21</v>
      </c>
      <c r="K129" s="3" t="s">
        <v>769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/>
      <c r="PK129" s="3"/>
      <c r="PL129" s="3"/>
      <c r="PM129" s="3"/>
      <c r="PN129" s="3"/>
      <c r="PO129" s="3"/>
      <c r="PP129" s="3"/>
      <c r="PQ129" s="3"/>
      <c r="PR129" s="3"/>
      <c r="PS129" s="3"/>
      <c r="PT129" s="3"/>
      <c r="PU129" s="3"/>
      <c r="PV129" s="3"/>
      <c r="PW129" s="3"/>
      <c r="PX129" s="3"/>
      <c r="PY129" s="3"/>
      <c r="PZ129" s="3"/>
      <c r="QA129" s="3"/>
      <c r="QB129" s="3"/>
      <c r="QC129" s="3"/>
      <c r="QD129" s="3"/>
      <c r="QE129" s="3"/>
      <c r="QF129" s="3"/>
      <c r="QG129" s="3"/>
      <c r="QH129" s="3"/>
      <c r="QI129" s="3"/>
      <c r="QJ129" s="3"/>
      <c r="QK129" s="3"/>
      <c r="QL129" s="3"/>
      <c r="QM129" s="3"/>
      <c r="QN129" s="3"/>
      <c r="QO129" s="3"/>
      <c r="QP129" s="3"/>
      <c r="QQ129" s="3"/>
      <c r="QR129" s="3"/>
      <c r="QS129" s="3"/>
      <c r="QT129" s="3"/>
      <c r="QU129" s="3"/>
      <c r="QV129" s="3"/>
      <c r="QW129" s="3"/>
      <c r="QX129" s="3"/>
      <c r="QY129" s="3"/>
      <c r="QZ129" s="3"/>
      <c r="RA129" s="3"/>
      <c r="RB129" s="3"/>
      <c r="RC129" s="3"/>
      <c r="RD129" s="3"/>
      <c r="RE129" s="3"/>
      <c r="RF129" s="3"/>
      <c r="RG129" s="3"/>
      <c r="RH129" s="3"/>
      <c r="RI129" s="3"/>
      <c r="RJ129" s="3"/>
      <c r="RK129" s="3"/>
      <c r="RL129" s="3"/>
      <c r="RM129" s="3"/>
      <c r="RN129" s="3"/>
      <c r="RO129" s="3"/>
      <c r="RP129" s="3"/>
      <c r="RQ129" s="3"/>
      <c r="RR129" s="3"/>
      <c r="RS129" s="3"/>
      <c r="RT129" s="3"/>
      <c r="RU129" s="3"/>
      <c r="RV129" s="3"/>
      <c r="RW129" s="3"/>
      <c r="RX129" s="3"/>
      <c r="RY129" s="3"/>
      <c r="RZ129" s="3"/>
      <c r="SA129" s="3"/>
      <c r="SB129" s="3"/>
      <c r="SC129" s="3"/>
      <c r="SD129" s="3"/>
      <c r="SE129" s="3"/>
      <c r="SF129" s="3"/>
      <c r="SG129" s="3"/>
      <c r="SH129" s="3"/>
      <c r="SI129" s="3"/>
      <c r="SJ129" s="3"/>
      <c r="SK129" s="3"/>
      <c r="SL129" s="3"/>
      <c r="SM129" s="3"/>
      <c r="SN129" s="3"/>
      <c r="SO129" s="3"/>
      <c r="SP129" s="3"/>
      <c r="SQ129" s="3"/>
      <c r="SR129" s="3"/>
      <c r="SS129" s="3"/>
      <c r="ST129" s="3"/>
      <c r="SU129" s="3"/>
      <c r="SV129" s="3"/>
      <c r="SW129" s="3"/>
      <c r="SX129" s="3"/>
      <c r="SY129" s="3"/>
      <c r="SZ129" s="3"/>
      <c r="TA129" s="3"/>
      <c r="TB129" s="3"/>
      <c r="TC129" s="3"/>
      <c r="TD129" s="3"/>
      <c r="TE129" s="3"/>
      <c r="TF129" s="3"/>
      <c r="TG129" s="3"/>
      <c r="TH129" s="3"/>
      <c r="TI129" s="3"/>
      <c r="TJ129" s="3"/>
      <c r="TK129" s="3"/>
      <c r="TL129" s="3"/>
      <c r="TM129" s="3"/>
      <c r="TN129" s="3"/>
      <c r="TO129" s="3"/>
      <c r="TP129" s="3"/>
      <c r="TQ129" s="3"/>
      <c r="TR129" s="3"/>
      <c r="TS129" s="3"/>
      <c r="TT129" s="3"/>
      <c r="TU129" s="3"/>
      <c r="TV129" s="3"/>
      <c r="TW129" s="3"/>
      <c r="TX129" s="3"/>
      <c r="TY129" s="3"/>
      <c r="TZ129" s="3"/>
      <c r="UA129" s="3"/>
      <c r="UB129" s="3"/>
      <c r="UC129" s="3"/>
      <c r="UD129" s="3"/>
      <c r="UE129" s="3"/>
      <c r="UF129" s="3"/>
      <c r="UG129" s="3"/>
      <c r="UH129" s="3"/>
      <c r="UI129" s="3"/>
      <c r="UJ129" s="3"/>
      <c r="UK129" s="3"/>
      <c r="UL129" s="3"/>
      <c r="UM129" s="3"/>
      <c r="UN129" s="3"/>
      <c r="UO129" s="3"/>
      <c r="UP129" s="3"/>
      <c r="UQ129" s="3"/>
      <c r="UR129" s="3"/>
      <c r="US129" s="3"/>
      <c r="UT129" s="3"/>
      <c r="UU129" s="3"/>
      <c r="UV129" s="3"/>
      <c r="UW129" s="3"/>
      <c r="UX129" s="3"/>
      <c r="UY129" s="3"/>
      <c r="UZ129" s="3"/>
      <c r="VA129" s="3"/>
      <c r="VB129" s="3"/>
      <c r="VC129" s="3"/>
      <c r="VD129" s="3"/>
      <c r="VE129" s="3"/>
      <c r="VF129" s="3"/>
      <c r="VG129" s="3"/>
      <c r="VH129" s="3"/>
      <c r="VI129" s="3"/>
      <c r="VJ129" s="3"/>
      <c r="VK129" s="3"/>
      <c r="VL129" s="3"/>
      <c r="VM129" s="3"/>
      <c r="VN129" s="3"/>
      <c r="VO129" s="3"/>
      <c r="VP129" s="3"/>
      <c r="VQ129" s="3"/>
      <c r="VR129" s="3"/>
      <c r="VS129" s="3"/>
      <c r="VT129" s="3"/>
      <c r="VU129" s="3"/>
      <c r="VV129" s="3"/>
      <c r="VW129" s="3"/>
      <c r="VX129" s="3"/>
      <c r="VY129" s="3"/>
      <c r="VZ129" s="3"/>
      <c r="WA129" s="3"/>
      <c r="WB129" s="3"/>
      <c r="WC129" s="3"/>
      <c r="WD129" s="3"/>
      <c r="WE129" s="3"/>
      <c r="WF129" s="3"/>
      <c r="WG129" s="3"/>
      <c r="WH129" s="3"/>
      <c r="WI129" s="3"/>
      <c r="WJ129" s="3"/>
      <c r="WK129" s="3"/>
      <c r="WL129" s="3"/>
      <c r="WM129" s="3"/>
      <c r="WN129" s="3"/>
      <c r="WO129" s="3"/>
      <c r="WP129" s="3"/>
      <c r="WQ129" s="3"/>
      <c r="WR129" s="3"/>
      <c r="WS129" s="3"/>
      <c r="WT129" s="3"/>
      <c r="WU129" s="3"/>
      <c r="WV129" s="3"/>
      <c r="WW129" s="3"/>
      <c r="WX129" s="3"/>
      <c r="WY129" s="3"/>
      <c r="WZ129" s="3"/>
      <c r="XA129" s="3"/>
      <c r="XB129" s="3"/>
      <c r="XC129" s="3"/>
      <c r="XD129" s="3"/>
      <c r="XE129" s="3"/>
      <c r="XF129" s="3"/>
      <c r="XG129" s="3"/>
      <c r="XH129" s="3"/>
      <c r="XI129" s="3"/>
      <c r="XJ129" s="3"/>
      <c r="XK129" s="3"/>
      <c r="XL129" s="3"/>
      <c r="XM129" s="3"/>
      <c r="XN129" s="3"/>
      <c r="XO129" s="3"/>
      <c r="XP129" s="3"/>
      <c r="XQ129" s="3"/>
      <c r="XR129" s="3"/>
      <c r="XS129" s="3"/>
      <c r="XT129" s="3"/>
      <c r="XU129" s="3"/>
      <c r="XV129" s="3"/>
      <c r="XW129" s="3"/>
      <c r="XX129" s="3"/>
      <c r="XY129" s="3"/>
      <c r="XZ129" s="3"/>
      <c r="YA129" s="3"/>
      <c r="YB129" s="3"/>
      <c r="YC129" s="3"/>
      <c r="YD129" s="3"/>
      <c r="YE129" s="3"/>
      <c r="YF129" s="3"/>
      <c r="YG129" s="3"/>
      <c r="YH129" s="3"/>
      <c r="YI129" s="3"/>
      <c r="YJ129" s="3"/>
      <c r="YK129" s="3"/>
      <c r="YL129" s="3"/>
      <c r="YM129" s="3"/>
      <c r="YN129" s="3"/>
      <c r="YO129" s="3"/>
      <c r="YP129" s="3"/>
      <c r="YQ129" s="3"/>
      <c r="YR129" s="3"/>
      <c r="YS129" s="3"/>
      <c r="YT129" s="3"/>
      <c r="YU129" s="3"/>
      <c r="YV129" s="3"/>
      <c r="YW129" s="3"/>
      <c r="YX129" s="3"/>
      <c r="YY129" s="3"/>
      <c r="YZ129" s="3"/>
      <c r="ZA129" s="3"/>
      <c r="ZB129" s="3"/>
      <c r="ZC129" s="3"/>
      <c r="ZD129" s="3"/>
      <c r="ZE129" s="3"/>
      <c r="ZF129" s="3"/>
      <c r="ZG129" s="3"/>
      <c r="ZH129" s="3"/>
      <c r="ZI129" s="3"/>
      <c r="ZJ129" s="3"/>
      <c r="ZK129" s="3"/>
      <c r="ZL129" s="3"/>
      <c r="ZM129" s="3"/>
      <c r="ZN129" s="3"/>
      <c r="ZO129" s="3"/>
      <c r="ZP129" s="3"/>
      <c r="ZQ129" s="3"/>
      <c r="ZR129" s="3"/>
      <c r="ZS129" s="3"/>
      <c r="ZT129" s="3"/>
      <c r="ZU129" s="3"/>
      <c r="ZV129" s="3"/>
      <c r="ZW129" s="3"/>
      <c r="ZX129" s="3"/>
      <c r="ZY129" s="3"/>
      <c r="ZZ129" s="3"/>
      <c r="AAA129" s="3"/>
      <c r="AAB129" s="3"/>
      <c r="AAC129" s="3"/>
      <c r="AAD129" s="3"/>
      <c r="AAE129" s="3"/>
      <c r="AAF129" s="3"/>
      <c r="AAG129" s="3"/>
      <c r="AAH129" s="3"/>
      <c r="AAI129" s="3"/>
      <c r="AAJ129" s="3"/>
      <c r="AAK129" s="3"/>
      <c r="AAL129" s="3"/>
      <c r="AAM129" s="3"/>
      <c r="AAN129" s="3"/>
      <c r="AAO129" s="3"/>
      <c r="AAP129" s="3"/>
      <c r="AAQ129" s="3"/>
      <c r="AAR129" s="3"/>
      <c r="AAS129" s="3"/>
      <c r="AAT129" s="3"/>
      <c r="AAU129" s="3"/>
      <c r="AAV129" s="3"/>
      <c r="AAW129" s="3"/>
      <c r="AAX129" s="3"/>
      <c r="AAY129" s="3"/>
      <c r="AAZ129" s="3"/>
      <c r="ABA129" s="3"/>
      <c r="ABB129" s="3"/>
      <c r="ABC129" s="3"/>
      <c r="ABD129" s="3"/>
      <c r="ABE129" s="3"/>
      <c r="ABF129" s="3"/>
      <c r="ABG129" s="3"/>
      <c r="ABH129" s="3"/>
      <c r="ABI129" s="3"/>
      <c r="ABJ129" s="3"/>
      <c r="ABK129" s="3"/>
      <c r="ABL129" s="3"/>
      <c r="ABM129" s="3"/>
      <c r="ABN129" s="3"/>
      <c r="ABO129" s="3"/>
      <c r="ABP129" s="3"/>
      <c r="ABQ129" s="3"/>
      <c r="ABR129" s="3"/>
      <c r="ABS129" s="3"/>
      <c r="ABT129" s="3"/>
      <c r="ABU129" s="3"/>
      <c r="ABV129" s="3"/>
      <c r="ABW129" s="3"/>
      <c r="ABX129" s="3"/>
      <c r="ABY129" s="3"/>
      <c r="ABZ129" s="3"/>
      <c r="ACA129" s="3"/>
      <c r="ACB129" s="3"/>
      <c r="ACC129" s="3"/>
      <c r="ACD129" s="3"/>
      <c r="ACE129" s="3"/>
      <c r="ACF129" s="3"/>
      <c r="ACG129" s="3"/>
      <c r="ACH129" s="3"/>
      <c r="ACI129" s="3"/>
      <c r="ACJ129" s="3"/>
      <c r="ACK129" s="3"/>
      <c r="ACL129" s="3"/>
      <c r="ACM129" s="3"/>
      <c r="ACN129" s="3"/>
      <c r="ACO129" s="3"/>
      <c r="ACP129" s="3"/>
      <c r="ACQ129" s="3"/>
      <c r="ACR129" s="3"/>
      <c r="ACS129" s="3"/>
      <c r="ACT129" s="3"/>
      <c r="ACU129" s="3"/>
      <c r="ACV129" s="3"/>
      <c r="ACW129" s="3"/>
      <c r="ACX129" s="3"/>
      <c r="ACY129" s="3"/>
      <c r="ACZ129" s="3"/>
      <c r="ADA129" s="3"/>
      <c r="ADB129" s="3"/>
      <c r="ADC129" s="3"/>
      <c r="ADD129" s="3"/>
      <c r="ADE129" s="3"/>
      <c r="ADF129" s="3"/>
      <c r="ADG129" s="3"/>
      <c r="ADH129" s="3"/>
      <c r="ADI129" s="3"/>
      <c r="ADJ129" s="3"/>
      <c r="ADK129" s="3"/>
      <c r="ADL129" s="3"/>
      <c r="ADM129" s="3"/>
      <c r="ADN129" s="3"/>
      <c r="ADO129" s="3"/>
      <c r="ADP129" s="3"/>
      <c r="ADQ129" s="3"/>
      <c r="ADR129" s="3"/>
      <c r="ADS129" s="3"/>
      <c r="ADT129" s="3"/>
      <c r="ADU129" s="3"/>
      <c r="ADV129" s="3"/>
      <c r="ADW129" s="3"/>
      <c r="ADX129" s="3"/>
      <c r="ADY129" s="3"/>
      <c r="ADZ129" s="3"/>
      <c r="AEA129" s="3"/>
      <c r="AEB129" s="3"/>
      <c r="AEC129" s="3"/>
      <c r="AED129" s="3"/>
      <c r="AEE129" s="3"/>
      <c r="AEF129" s="3"/>
      <c r="AEG129" s="3"/>
      <c r="AEH129" s="3"/>
      <c r="AEI129" s="3"/>
      <c r="AEJ129" s="3"/>
      <c r="AEK129" s="3"/>
      <c r="AEL129" s="3"/>
      <c r="AEM129" s="3"/>
      <c r="AEN129" s="3"/>
      <c r="AEO129" s="3"/>
      <c r="AEP129" s="3"/>
      <c r="AEQ129" s="3"/>
      <c r="AER129" s="3"/>
      <c r="AES129" s="3"/>
      <c r="AET129" s="3"/>
      <c r="AEU129" s="3"/>
      <c r="AEV129" s="3"/>
      <c r="AEW129" s="3"/>
      <c r="AEX129" s="3"/>
      <c r="AEY129" s="3"/>
      <c r="AEZ129" s="3"/>
      <c r="AFA129" s="3"/>
      <c r="AFB129" s="3"/>
      <c r="AFC129" s="3"/>
      <c r="AFD129" s="3"/>
      <c r="AFE129" s="3"/>
      <c r="AFF129" s="3"/>
      <c r="AFG129" s="3"/>
      <c r="AFH129" s="3"/>
      <c r="AFI129" s="3"/>
      <c r="AFJ129" s="3"/>
      <c r="AFK129" s="3"/>
      <c r="AFL129" s="3"/>
      <c r="AFM129" s="3"/>
      <c r="AFN129" s="3"/>
      <c r="AFO129" s="3"/>
      <c r="AFP129" s="3"/>
      <c r="AFQ129" s="3"/>
      <c r="AFR129" s="3"/>
      <c r="AFS129" s="3"/>
      <c r="AFT129" s="3"/>
      <c r="AFU129" s="3"/>
      <c r="AFV129" s="3"/>
      <c r="AFW129" s="3"/>
      <c r="AFX129" s="3"/>
      <c r="AFY129" s="3"/>
      <c r="AFZ129" s="3"/>
      <c r="AGA129" s="3"/>
      <c r="AGB129" s="3"/>
      <c r="AGC129" s="3"/>
      <c r="AGD129" s="3"/>
      <c r="AGE129" s="3"/>
      <c r="AGF129" s="3"/>
      <c r="AGG129" s="3"/>
      <c r="AGH129" s="3"/>
      <c r="AGI129" s="3"/>
      <c r="AGJ129" s="3"/>
      <c r="AGK129" s="3"/>
      <c r="AGL129" s="3"/>
      <c r="AGM129" s="3"/>
      <c r="AGN129" s="3"/>
      <c r="AGO129" s="3"/>
      <c r="AGP129" s="3"/>
      <c r="AGQ129" s="3"/>
      <c r="AGR129" s="3"/>
      <c r="AGS129" s="3"/>
      <c r="AGT129" s="3"/>
      <c r="AGU129" s="3"/>
      <c r="AGV129" s="3"/>
      <c r="AGW129" s="3"/>
      <c r="AGX129" s="3"/>
      <c r="AGY129" s="3"/>
      <c r="AGZ129" s="3"/>
      <c r="AHA129" s="3"/>
      <c r="AHB129" s="3"/>
      <c r="AHC129" s="3"/>
      <c r="AHD129" s="3"/>
      <c r="AHE129" s="3"/>
      <c r="AHF129" s="3"/>
      <c r="AHG129" s="3"/>
      <c r="AHH129" s="3"/>
      <c r="AHI129" s="3"/>
      <c r="AHJ129" s="3"/>
      <c r="AHK129" s="3"/>
      <c r="AHL129" s="3"/>
      <c r="AHM129" s="3"/>
      <c r="AHN129" s="3"/>
      <c r="AHO129" s="3"/>
      <c r="AHP129" s="3"/>
      <c r="AHQ129" s="3"/>
      <c r="AHR129" s="3"/>
      <c r="AHS129" s="3"/>
      <c r="AHT129" s="3"/>
      <c r="AHU129" s="3"/>
      <c r="AHV129" s="3"/>
      <c r="AHW129" s="3"/>
      <c r="AHX129" s="3"/>
      <c r="AHY129" s="3"/>
      <c r="AHZ129" s="3"/>
      <c r="AIA129" s="3"/>
      <c r="AIB129" s="3"/>
      <c r="AIC129" s="3"/>
      <c r="AID129" s="3"/>
      <c r="AIE129" s="3"/>
      <c r="AIF129" s="3"/>
      <c r="AIG129" s="3"/>
      <c r="AIH129" s="3"/>
      <c r="AII129" s="3"/>
      <c r="AIJ129" s="3"/>
      <c r="AIK129" s="3"/>
      <c r="AIL129" s="3"/>
      <c r="AIM129" s="3"/>
      <c r="AIN129" s="3"/>
      <c r="AIO129" s="3"/>
      <c r="AIP129" s="3"/>
      <c r="AIQ129" s="3"/>
      <c r="AIR129" s="3"/>
      <c r="AIS129" s="3"/>
      <c r="AIT129" s="3"/>
      <c r="AIU129" s="3"/>
      <c r="AIV129" s="3"/>
      <c r="AIW129" s="3"/>
      <c r="AIX129" s="3"/>
      <c r="AIY129" s="3"/>
      <c r="AIZ129" s="3"/>
      <c r="AJA129" s="3"/>
      <c r="AJB129" s="3"/>
      <c r="AJC129" s="3"/>
      <c r="AJD129" s="3"/>
      <c r="AJE129" s="3"/>
      <c r="AJF129" s="3"/>
      <c r="AJG129" s="3"/>
      <c r="AJH129" s="3"/>
      <c r="AJI129" s="3"/>
      <c r="AJJ129" s="3"/>
      <c r="AJK129" s="3"/>
      <c r="AJL129" s="3"/>
      <c r="AJM129" s="3"/>
      <c r="AJN129" s="3"/>
      <c r="AJO129" s="3"/>
      <c r="AJP129" s="3"/>
      <c r="AJQ129" s="3"/>
      <c r="AJR129" s="3"/>
      <c r="AJS129" s="3"/>
      <c r="AJT129" s="3"/>
      <c r="AJU129" s="3"/>
      <c r="AJV129" s="3"/>
      <c r="AJW129" s="3"/>
      <c r="AJX129" s="3"/>
      <c r="AJY129" s="3"/>
      <c r="AJZ129" s="3"/>
      <c r="AKA129" s="3"/>
      <c r="AKB129" s="3"/>
      <c r="AKC129" s="3"/>
      <c r="AKD129" s="3"/>
      <c r="AKE129" s="3"/>
      <c r="AKF129" s="3"/>
      <c r="AKG129" s="3"/>
      <c r="AKH129" s="3"/>
      <c r="AKI129" s="3"/>
      <c r="AKJ129" s="3"/>
      <c r="AKK129" s="3"/>
      <c r="AKL129" s="3"/>
      <c r="AKM129" s="3"/>
      <c r="AKN129" s="3"/>
      <c r="AKO129" s="3"/>
      <c r="AKP129" s="3"/>
      <c r="AKQ129" s="3"/>
      <c r="AKR129" s="3"/>
      <c r="AKS129" s="3"/>
      <c r="AKT129" s="3"/>
      <c r="AKU129" s="3"/>
      <c r="AKV129" s="3"/>
      <c r="AKW129" s="3"/>
      <c r="AKX129" s="3"/>
      <c r="AKY129" s="3"/>
      <c r="AKZ129" s="3"/>
      <c r="ALA129" s="3"/>
      <c r="ALB129" s="3"/>
      <c r="ALC129" s="3"/>
      <c r="ALD129" s="3"/>
      <c r="ALE129" s="3"/>
      <c r="ALF129" s="3"/>
      <c r="ALG129" s="3"/>
      <c r="ALH129" s="3"/>
      <c r="ALI129" s="3"/>
      <c r="ALJ129" s="3"/>
      <c r="ALK129" s="3"/>
      <c r="ALL129" s="3"/>
      <c r="ALM129" s="3"/>
      <c r="ALN129" s="3"/>
      <c r="ALO129" s="3"/>
      <c r="ALP129" s="3"/>
      <c r="ALQ129" s="3"/>
      <c r="ALR129" s="3"/>
      <c r="ALS129" s="3"/>
      <c r="ALT129" s="3"/>
      <c r="ALU129" s="3"/>
      <c r="ALV129" s="3"/>
      <c r="ALW129" s="3"/>
      <c r="ALX129" s="3"/>
      <c r="ALY129" s="3"/>
      <c r="ALZ129" s="3"/>
      <c r="AMA129" s="3"/>
      <c r="AMB129" s="3"/>
      <c r="AMC129" s="3"/>
      <c r="AMD129" s="3"/>
      <c r="AME129" s="3"/>
      <c r="AMF129" s="3"/>
      <c r="AMG129" s="3"/>
      <c r="AMH129" s="3"/>
      <c r="AMI129" s="3"/>
      <c r="AMJ129" s="3"/>
      <c r="AMK129" s="3"/>
      <c r="AML129" s="3"/>
      <c r="AMM129" s="3"/>
      <c r="AMN129" s="3"/>
      <c r="AMO129" s="3"/>
      <c r="AMP129" s="3"/>
      <c r="AMQ129" s="3"/>
      <c r="AMR129" s="3"/>
      <c r="AMS129" s="3"/>
      <c r="AMT129" s="3"/>
      <c r="AMU129" s="3"/>
      <c r="AMV129" s="3"/>
      <c r="AMW129" s="3"/>
      <c r="AMX129" s="3"/>
      <c r="AMY129" s="3"/>
      <c r="AMZ129" s="3"/>
      <c r="ANA129" s="3"/>
      <c r="ANB129" s="3"/>
      <c r="ANC129" s="3"/>
      <c r="AND129" s="3"/>
      <c r="ANE129" s="3"/>
      <c r="ANF129" s="3"/>
      <c r="ANG129" s="3"/>
      <c r="ANH129" s="3"/>
      <c r="ANI129" s="3"/>
      <c r="ANJ129" s="3"/>
      <c r="ANK129" s="3"/>
      <c r="ANL129" s="3"/>
      <c r="ANM129" s="3"/>
      <c r="ANN129" s="3"/>
      <c r="ANO129" s="3"/>
      <c r="ANP129" s="3"/>
      <c r="ANQ129" s="3"/>
      <c r="ANR129" s="3"/>
      <c r="ANS129" s="3"/>
      <c r="ANT129" s="3"/>
      <c r="ANU129" s="3"/>
      <c r="ANV129" s="3"/>
      <c r="ANW129" s="3"/>
      <c r="ANX129" s="3"/>
      <c r="ANY129" s="3"/>
      <c r="ANZ129" s="3"/>
      <c r="AOA129" s="3"/>
      <c r="AOB129" s="3"/>
      <c r="AOC129" s="3"/>
      <c r="AOD129" s="3"/>
      <c r="AOE129" s="3"/>
      <c r="AOF129" s="3"/>
      <c r="AOG129" s="3"/>
      <c r="AOH129" s="3"/>
      <c r="AOI129" s="3"/>
      <c r="AOJ129" s="3"/>
      <c r="AOK129" s="3"/>
      <c r="AOL129" s="3"/>
      <c r="AOM129" s="3"/>
      <c r="AON129" s="3"/>
      <c r="AOO129" s="3"/>
      <c r="AOP129" s="3"/>
      <c r="AOQ129" s="3"/>
      <c r="AOR129" s="3"/>
      <c r="AOS129" s="3"/>
      <c r="AOT129" s="3"/>
      <c r="AOU129" s="3"/>
      <c r="AOV129" s="3"/>
      <c r="AOW129" s="3"/>
      <c r="AOX129" s="3"/>
      <c r="AOY129" s="3"/>
      <c r="AOZ129" s="3"/>
      <c r="APA129" s="3"/>
      <c r="APB129" s="3"/>
      <c r="APC129" s="3"/>
      <c r="APD129" s="3"/>
      <c r="APE129" s="3"/>
      <c r="APF129" s="3"/>
      <c r="APG129" s="3"/>
      <c r="APH129" s="3"/>
      <c r="API129" s="3"/>
      <c r="APJ129" s="3"/>
      <c r="APK129" s="3"/>
      <c r="APL129" s="3"/>
      <c r="APM129" s="3"/>
      <c r="APN129" s="3"/>
      <c r="APO129" s="3"/>
      <c r="APP129" s="3"/>
      <c r="APQ129" s="3"/>
      <c r="APR129" s="3"/>
      <c r="APS129" s="3"/>
      <c r="APT129" s="3"/>
      <c r="APU129" s="3"/>
      <c r="APV129" s="3"/>
      <c r="APW129" s="3"/>
      <c r="APX129" s="3"/>
      <c r="APY129" s="3"/>
      <c r="APZ129" s="3"/>
      <c r="AQA129" s="3"/>
      <c r="AQB129" s="3"/>
      <c r="AQC129" s="3"/>
      <c r="AQD129" s="3"/>
      <c r="AQE129" s="3"/>
      <c r="AQF129" s="3"/>
      <c r="AQG129" s="3"/>
      <c r="AQH129" s="3"/>
      <c r="AQI129" s="3"/>
      <c r="AQJ129" s="3"/>
      <c r="AQK129" s="3"/>
      <c r="AQL129" s="3"/>
      <c r="AQM129" s="3"/>
      <c r="AQN129" s="3"/>
      <c r="AQO129" s="3"/>
      <c r="AQP129" s="3"/>
      <c r="AQQ129" s="3"/>
      <c r="AQR129" s="3"/>
      <c r="AQS129" s="3"/>
      <c r="AQT129" s="3"/>
      <c r="AQU129" s="3"/>
      <c r="AQV129" s="3"/>
      <c r="AQW129" s="3"/>
      <c r="AQX129" s="3"/>
      <c r="AQY129" s="3"/>
      <c r="AQZ129" s="3"/>
      <c r="ARA129" s="3"/>
      <c r="ARB129" s="3"/>
      <c r="ARC129" s="3"/>
      <c r="ARD129" s="3"/>
      <c r="ARE129" s="3"/>
      <c r="ARF129" s="3"/>
      <c r="ARG129" s="3"/>
      <c r="ARH129" s="3"/>
      <c r="ARI129" s="3"/>
      <c r="ARJ129" s="3"/>
      <c r="ARK129" s="3"/>
      <c r="ARL129" s="3"/>
      <c r="ARM129" s="3"/>
      <c r="ARN129" s="3"/>
      <c r="ARO129" s="3"/>
      <c r="ARP129" s="3"/>
      <c r="ARQ129" s="3"/>
      <c r="ARR129" s="3"/>
      <c r="ARS129" s="3"/>
      <c r="ART129" s="3"/>
      <c r="ARU129" s="3"/>
      <c r="ARV129" s="3"/>
      <c r="ARW129" s="3"/>
      <c r="ARX129" s="3"/>
      <c r="ARY129" s="3"/>
      <c r="ARZ129" s="3"/>
      <c r="ASA129" s="3"/>
      <c r="ASB129" s="3"/>
      <c r="ASC129" s="3"/>
      <c r="ASD129" s="3"/>
      <c r="ASE129" s="3"/>
      <c r="ASF129" s="3"/>
      <c r="ASG129" s="3"/>
      <c r="ASH129" s="3"/>
      <c r="ASI129" s="3"/>
      <c r="ASJ129" s="3"/>
      <c r="ASK129" s="3"/>
      <c r="ASL129" s="3"/>
      <c r="ASM129" s="3"/>
      <c r="ASN129" s="3"/>
      <c r="ASO129" s="3"/>
      <c r="ASP129" s="3"/>
      <c r="ASQ129" s="3"/>
      <c r="ASR129" s="3"/>
      <c r="ASS129" s="3"/>
      <c r="AST129" s="3"/>
      <c r="ASU129" s="3"/>
      <c r="ASV129" s="3"/>
      <c r="ASW129" s="3"/>
      <c r="ASX129" s="3"/>
      <c r="ASY129" s="3"/>
      <c r="ASZ129" s="3"/>
      <c r="ATA129" s="3"/>
      <c r="ATB129" s="3"/>
      <c r="ATC129" s="3"/>
      <c r="ATD129" s="3"/>
      <c r="ATE129" s="3"/>
      <c r="ATF129" s="3"/>
      <c r="ATG129" s="3"/>
      <c r="ATH129" s="3"/>
      <c r="ATI129" s="3"/>
      <c r="ATJ129" s="3"/>
      <c r="ATK129" s="3"/>
      <c r="ATL129" s="3"/>
      <c r="ATM129" s="3"/>
      <c r="ATN129" s="3"/>
      <c r="ATO129" s="3"/>
      <c r="ATP129" s="3"/>
      <c r="ATQ129" s="3"/>
      <c r="ATR129" s="3"/>
      <c r="ATS129" s="3"/>
      <c r="ATT129" s="3"/>
      <c r="ATU129" s="3"/>
      <c r="ATV129" s="3"/>
      <c r="ATW129" s="3"/>
      <c r="ATX129" s="3"/>
      <c r="ATY129" s="3"/>
      <c r="ATZ129" s="3"/>
      <c r="AUA129" s="3"/>
      <c r="AUB129" s="3"/>
      <c r="AUC129" s="3"/>
      <c r="AUD129" s="3"/>
      <c r="AUE129" s="3"/>
      <c r="AUF129" s="3"/>
      <c r="AUG129" s="3"/>
      <c r="AUH129" s="3"/>
      <c r="AUI129" s="3"/>
      <c r="AUJ129" s="3"/>
      <c r="AUK129" s="3"/>
      <c r="AUL129" s="3"/>
      <c r="AUM129" s="3"/>
      <c r="AUN129" s="3"/>
      <c r="AUO129" s="3"/>
      <c r="AUP129" s="3"/>
      <c r="AUQ129" s="3"/>
      <c r="AUR129" s="3"/>
      <c r="AUS129" s="3"/>
      <c r="AUT129" s="3"/>
      <c r="AUU129" s="3"/>
      <c r="AUV129" s="3"/>
      <c r="AUW129" s="3"/>
      <c r="AUX129" s="3"/>
      <c r="AUY129" s="3"/>
      <c r="AUZ129" s="3"/>
      <c r="AVA129" s="3"/>
      <c r="AVB129" s="3"/>
      <c r="AVC129" s="3"/>
      <c r="AVD129" s="3"/>
      <c r="AVE129" s="3"/>
      <c r="AVF129" s="3"/>
      <c r="AVG129" s="3"/>
      <c r="AVH129" s="3"/>
      <c r="AVI129" s="3"/>
      <c r="AVJ129" s="3"/>
      <c r="AVK129" s="3"/>
      <c r="AVL129" s="3"/>
      <c r="AVM129" s="3"/>
      <c r="AVN129" s="3"/>
      <c r="AVO129" s="3"/>
      <c r="AVP129" s="3"/>
      <c r="AVQ129" s="3"/>
      <c r="AVR129" s="3"/>
      <c r="AVS129" s="3"/>
      <c r="AVT129" s="3"/>
      <c r="AVU129" s="3"/>
      <c r="AVV129" s="3"/>
      <c r="AVW129" s="3"/>
      <c r="AVX129" s="3"/>
      <c r="AVY129" s="3"/>
      <c r="AVZ129" s="3"/>
      <c r="AWA129" s="3"/>
      <c r="AWB129" s="3"/>
      <c r="AWC129" s="3"/>
      <c r="AWD129" s="3"/>
      <c r="AWE129" s="3"/>
      <c r="AWF129" s="3"/>
      <c r="AWG129" s="3"/>
      <c r="AWH129" s="3"/>
      <c r="AWI129" s="3"/>
      <c r="AWJ129" s="3"/>
      <c r="AWK129" s="3"/>
      <c r="AWL129" s="3"/>
      <c r="AWM129" s="3"/>
      <c r="AWN129" s="3"/>
      <c r="AWO129" s="3"/>
      <c r="AWP129" s="3"/>
      <c r="AWQ129" s="3"/>
      <c r="AWR129" s="3"/>
      <c r="AWS129" s="3"/>
      <c r="AWT129" s="3"/>
      <c r="AWU129" s="3"/>
      <c r="AWV129" s="3"/>
      <c r="AWW129" s="3"/>
      <c r="AWX129" s="3"/>
      <c r="AWY129" s="3"/>
      <c r="AWZ129" s="3"/>
      <c r="AXA129" s="3"/>
      <c r="AXB129" s="3"/>
      <c r="AXC129" s="3"/>
      <c r="AXD129" s="3"/>
      <c r="AXE129" s="3"/>
      <c r="AXF129" s="3"/>
      <c r="AXG129" s="3"/>
      <c r="AXH129" s="3"/>
      <c r="AXI129" s="3"/>
      <c r="AXJ129" s="3"/>
      <c r="AXK129" s="3"/>
      <c r="AXL129" s="3"/>
      <c r="AXM129" s="3"/>
      <c r="AXN129" s="3"/>
      <c r="AXO129" s="3"/>
      <c r="AXP129" s="3"/>
      <c r="AXQ129" s="3"/>
      <c r="AXR129" s="3"/>
      <c r="AXS129" s="3"/>
      <c r="AXT129" s="3"/>
      <c r="AXU129" s="3"/>
      <c r="AXV129" s="3"/>
      <c r="AXW129" s="3"/>
      <c r="AXX129" s="3"/>
      <c r="AXY129" s="3"/>
      <c r="AXZ129" s="3"/>
      <c r="AYA129" s="3"/>
      <c r="AYB129" s="3"/>
      <c r="AYC129" s="3"/>
      <c r="AYD129" s="3"/>
      <c r="AYE129" s="3"/>
      <c r="AYF129" s="3"/>
      <c r="AYG129" s="3"/>
      <c r="AYH129" s="3"/>
      <c r="AYI129" s="3"/>
      <c r="AYJ129" s="3"/>
      <c r="AYK129" s="3"/>
      <c r="AYL129" s="3"/>
      <c r="AYM129" s="3"/>
      <c r="AYN129" s="3"/>
      <c r="AYO129" s="3"/>
      <c r="AYP129" s="3"/>
      <c r="AYQ129" s="3"/>
      <c r="AYR129" s="3"/>
      <c r="AYS129" s="3"/>
      <c r="AYT129" s="3"/>
      <c r="AYU129" s="3"/>
      <c r="AYV129" s="3"/>
      <c r="AYW129" s="3"/>
      <c r="AYX129" s="3"/>
      <c r="AYY129" s="3"/>
      <c r="AYZ129" s="3"/>
      <c r="AZA129" s="3"/>
      <c r="AZB129" s="3"/>
      <c r="AZC129" s="3"/>
      <c r="AZD129" s="3"/>
      <c r="AZE129" s="3"/>
      <c r="AZF129" s="3"/>
      <c r="AZG129" s="3"/>
      <c r="AZH129" s="3"/>
      <c r="AZI129" s="3"/>
      <c r="AZJ129" s="3"/>
      <c r="AZK129" s="3"/>
      <c r="AZL129" s="3"/>
      <c r="AZM129" s="3"/>
      <c r="AZN129" s="3"/>
      <c r="AZO129" s="3"/>
      <c r="AZP129" s="3"/>
      <c r="AZQ129" s="3"/>
      <c r="AZR129" s="3"/>
      <c r="AZS129" s="3"/>
      <c r="AZT129" s="3"/>
      <c r="AZU129" s="3"/>
      <c r="AZV129" s="3"/>
      <c r="AZW129" s="3"/>
      <c r="AZX129" s="3"/>
      <c r="AZY129" s="3"/>
      <c r="AZZ129" s="3"/>
      <c r="BAA129" s="3"/>
      <c r="BAB129" s="3"/>
      <c r="BAC129" s="3"/>
      <c r="BAD129" s="3"/>
      <c r="BAE129" s="3"/>
      <c r="BAF129" s="3"/>
      <c r="BAG129" s="3"/>
      <c r="BAH129" s="3"/>
      <c r="BAI129" s="3"/>
      <c r="BAJ129" s="3"/>
      <c r="BAK129" s="3"/>
      <c r="BAL129" s="3"/>
      <c r="BAM129" s="3"/>
      <c r="BAN129" s="3"/>
      <c r="BAO129" s="3"/>
      <c r="BAP129" s="3"/>
      <c r="BAQ129" s="3"/>
      <c r="BAR129" s="3"/>
      <c r="BAS129" s="3"/>
      <c r="BAT129" s="3"/>
      <c r="BAU129" s="3"/>
      <c r="BAV129" s="3"/>
      <c r="BAW129" s="3"/>
      <c r="BAX129" s="3"/>
      <c r="BAY129" s="3"/>
      <c r="BAZ129" s="3"/>
      <c r="BBA129" s="3"/>
      <c r="BBB129" s="3"/>
      <c r="BBC129" s="3"/>
      <c r="BBD129" s="3"/>
      <c r="BBE129" s="3"/>
      <c r="BBF129" s="3"/>
      <c r="BBG129" s="3"/>
      <c r="BBH129" s="3"/>
      <c r="BBI129" s="3"/>
      <c r="BBJ129" s="3"/>
      <c r="BBK129" s="3"/>
      <c r="BBL129" s="3"/>
      <c r="BBM129" s="3"/>
      <c r="BBN129" s="3"/>
      <c r="BBO129" s="3"/>
      <c r="BBP129" s="3"/>
      <c r="BBQ129" s="3"/>
      <c r="BBR129" s="3"/>
      <c r="BBS129" s="3"/>
      <c r="BBT129" s="3"/>
      <c r="BBU129" s="3"/>
      <c r="BBV129" s="3"/>
      <c r="BBW129" s="3"/>
      <c r="BBX129" s="3"/>
      <c r="BBY129" s="3"/>
      <c r="BBZ129" s="3"/>
      <c r="BCA129" s="3"/>
      <c r="BCB129" s="3"/>
      <c r="BCC129" s="3"/>
      <c r="BCD129" s="3"/>
      <c r="BCE129" s="3"/>
      <c r="BCF129" s="3"/>
      <c r="BCG129" s="3"/>
      <c r="BCH129" s="3"/>
      <c r="BCI129" s="3"/>
      <c r="BCJ129" s="3"/>
      <c r="BCK129" s="3"/>
      <c r="BCL129" s="3"/>
      <c r="BCM129" s="3"/>
      <c r="BCN129" s="3"/>
      <c r="BCO129" s="3"/>
      <c r="BCP129" s="3"/>
      <c r="BCQ129" s="3"/>
      <c r="BCR129" s="3"/>
      <c r="BCS129" s="3"/>
      <c r="BCT129" s="3"/>
      <c r="BCU129" s="3"/>
      <c r="BCV129" s="3"/>
      <c r="BCW129" s="3"/>
      <c r="BCX129" s="3"/>
      <c r="BCY129" s="3"/>
      <c r="BCZ129" s="3"/>
      <c r="BDA129" s="3"/>
      <c r="BDB129" s="3"/>
      <c r="BDC129" s="3"/>
      <c r="BDD129" s="3"/>
      <c r="BDE129" s="3"/>
      <c r="BDF129" s="3"/>
      <c r="BDG129" s="3"/>
      <c r="BDH129" s="3"/>
      <c r="BDI129" s="3"/>
      <c r="BDJ129" s="3"/>
      <c r="BDK129" s="3"/>
      <c r="BDL129" s="3"/>
      <c r="BDM129" s="3"/>
      <c r="BDN129" s="3"/>
      <c r="BDO129" s="3"/>
      <c r="BDP129" s="3"/>
      <c r="BDQ129" s="3"/>
      <c r="BDR129" s="3"/>
      <c r="BDS129" s="3"/>
      <c r="BDT129" s="3"/>
      <c r="BDU129" s="3"/>
      <c r="BDV129" s="3"/>
      <c r="BDW129" s="3"/>
      <c r="BDX129" s="3"/>
      <c r="BDY129" s="3"/>
      <c r="BDZ129" s="3"/>
      <c r="BEA129" s="3"/>
      <c r="BEB129" s="3"/>
      <c r="BEC129" s="3"/>
      <c r="BED129" s="3"/>
      <c r="BEE129" s="3"/>
      <c r="BEF129" s="3"/>
      <c r="BEG129" s="3"/>
      <c r="BEH129" s="3"/>
      <c r="BEI129" s="3"/>
      <c r="BEJ129" s="3"/>
      <c r="BEK129" s="3"/>
      <c r="BEL129" s="3"/>
      <c r="BEM129" s="3"/>
      <c r="BEN129" s="3"/>
      <c r="BEO129" s="3"/>
      <c r="BEP129" s="3"/>
      <c r="BEQ129" s="3"/>
      <c r="BER129" s="3"/>
      <c r="BES129" s="3"/>
      <c r="BET129" s="3"/>
      <c r="BEU129" s="3"/>
      <c r="BEV129" s="3"/>
      <c r="BEW129" s="3"/>
      <c r="BEX129" s="3"/>
      <c r="BEY129" s="3"/>
      <c r="BEZ129" s="3"/>
      <c r="BFA129" s="3"/>
      <c r="BFB129" s="3"/>
      <c r="BFC129" s="3"/>
      <c r="BFD129" s="3"/>
      <c r="BFE129" s="3"/>
      <c r="BFF129" s="3"/>
      <c r="BFG129" s="3"/>
      <c r="BFH129" s="3"/>
      <c r="BFI129" s="3"/>
      <c r="BFJ129" s="3"/>
      <c r="BFK129" s="3"/>
      <c r="BFL129" s="3"/>
      <c r="BFM129" s="3"/>
      <c r="BFN129" s="3"/>
      <c r="BFO129" s="3"/>
      <c r="BFP129" s="3"/>
      <c r="BFQ129" s="3"/>
      <c r="BFR129" s="3"/>
      <c r="BFS129" s="3"/>
      <c r="BFT129" s="3"/>
      <c r="BFU129" s="3"/>
      <c r="BFV129" s="3"/>
      <c r="BFW129" s="3"/>
      <c r="BFX129" s="3"/>
      <c r="BFY129" s="3"/>
      <c r="BFZ129" s="3"/>
      <c r="BGA129" s="3"/>
      <c r="BGB129" s="3"/>
      <c r="BGC129" s="3"/>
      <c r="BGD129" s="3"/>
      <c r="BGE129" s="3"/>
      <c r="BGF129" s="3"/>
      <c r="BGG129" s="3"/>
      <c r="BGH129" s="3"/>
      <c r="BGI129" s="3"/>
      <c r="BGJ129" s="3"/>
      <c r="BGK129" s="3"/>
      <c r="BGL129" s="3"/>
      <c r="BGM129" s="3"/>
      <c r="BGN129" s="3"/>
      <c r="BGO129" s="3"/>
      <c r="BGP129" s="3"/>
      <c r="BGQ129" s="3"/>
      <c r="BGR129" s="3"/>
      <c r="BGS129" s="3"/>
      <c r="BGT129" s="3"/>
      <c r="BGU129" s="3"/>
      <c r="BGV129" s="3"/>
      <c r="BGW129" s="3"/>
      <c r="BGX129" s="3"/>
      <c r="BGY129" s="3"/>
      <c r="BGZ129" s="3"/>
      <c r="BHA129" s="3"/>
      <c r="BHB129" s="3"/>
      <c r="BHC129" s="3"/>
      <c r="BHD129" s="3"/>
      <c r="BHE129" s="3"/>
      <c r="BHF129" s="3"/>
      <c r="BHG129" s="3"/>
      <c r="BHH129" s="3"/>
      <c r="BHI129" s="3"/>
      <c r="BHJ129" s="3"/>
      <c r="BHK129" s="3"/>
      <c r="BHL129" s="3"/>
      <c r="BHM129" s="3"/>
      <c r="BHN129" s="3"/>
      <c r="BHO129" s="3"/>
      <c r="BHP129" s="3"/>
      <c r="BHQ129" s="3"/>
      <c r="BHR129" s="3"/>
      <c r="BHS129" s="3"/>
      <c r="BHT129" s="3"/>
      <c r="BHU129" s="3"/>
      <c r="BHV129" s="3"/>
      <c r="BHW129" s="3"/>
      <c r="BHX129" s="3"/>
      <c r="BHY129" s="3"/>
      <c r="BHZ129" s="3"/>
      <c r="BIA129" s="3"/>
      <c r="BIB129" s="3"/>
      <c r="BIC129" s="3"/>
      <c r="BID129" s="3"/>
      <c r="BIE129" s="3"/>
      <c r="BIF129" s="3"/>
      <c r="BIG129" s="3"/>
      <c r="BIH129" s="3"/>
      <c r="BII129" s="3"/>
      <c r="BIJ129" s="3"/>
      <c r="BIK129" s="3"/>
      <c r="BIL129" s="3"/>
      <c r="BIM129" s="3"/>
      <c r="BIN129" s="3"/>
      <c r="BIO129" s="3"/>
      <c r="BIP129" s="3"/>
      <c r="BIQ129" s="3"/>
      <c r="BIR129" s="3"/>
      <c r="BIS129" s="3"/>
      <c r="BIT129" s="3"/>
      <c r="BIU129" s="3"/>
      <c r="BIV129" s="3"/>
      <c r="BIW129" s="3"/>
      <c r="BIX129" s="3"/>
      <c r="BIY129" s="3"/>
      <c r="BIZ129" s="3"/>
      <c r="BJA129" s="3"/>
      <c r="BJB129" s="3"/>
      <c r="BJC129" s="3"/>
      <c r="BJD129" s="3"/>
      <c r="BJE129" s="3"/>
      <c r="BJF129" s="3"/>
      <c r="BJG129" s="3"/>
      <c r="BJH129" s="3"/>
      <c r="BJI129" s="3"/>
      <c r="BJJ129" s="3"/>
      <c r="BJK129" s="3"/>
      <c r="BJL129" s="3"/>
      <c r="BJM129" s="3"/>
      <c r="BJN129" s="3"/>
      <c r="BJO129" s="3"/>
      <c r="BJP129" s="3"/>
      <c r="BJQ129" s="3"/>
      <c r="BJR129" s="3"/>
      <c r="BJS129" s="3"/>
      <c r="BJT129" s="3"/>
      <c r="BJU129" s="3"/>
      <c r="BJV129" s="3"/>
      <c r="BJW129" s="3"/>
      <c r="BJX129" s="3"/>
      <c r="BJY129" s="3"/>
      <c r="BJZ129" s="3"/>
      <c r="BKA129" s="3"/>
      <c r="BKB129" s="3"/>
      <c r="BKC129" s="3"/>
      <c r="BKD129" s="3"/>
      <c r="BKE129" s="3"/>
      <c r="BKF129" s="3"/>
      <c r="BKG129" s="3"/>
      <c r="BKH129" s="3"/>
      <c r="BKI129" s="3"/>
      <c r="BKJ129" s="3"/>
      <c r="BKK129" s="3"/>
      <c r="BKL129" s="3"/>
      <c r="BKM129" s="3"/>
      <c r="BKN129" s="3"/>
      <c r="BKO129" s="3"/>
      <c r="BKP129" s="3"/>
      <c r="BKQ129" s="3"/>
      <c r="BKR129" s="3"/>
      <c r="BKS129" s="3"/>
      <c r="BKT129" s="3"/>
      <c r="BKU129" s="3"/>
      <c r="BKV129" s="3"/>
      <c r="BKW129" s="3"/>
      <c r="BKX129" s="3"/>
      <c r="BKY129" s="3"/>
      <c r="BKZ129" s="3"/>
      <c r="BLA129" s="3"/>
      <c r="BLB129" s="3"/>
      <c r="BLC129" s="3"/>
      <c r="BLD129" s="3"/>
      <c r="BLE129" s="3"/>
      <c r="BLF129" s="3"/>
      <c r="BLG129" s="3"/>
      <c r="BLH129" s="3"/>
      <c r="BLI129" s="3"/>
      <c r="BLJ129" s="3"/>
      <c r="BLK129" s="3"/>
      <c r="BLL129" s="3"/>
      <c r="BLM129" s="3"/>
      <c r="BLN129" s="3"/>
      <c r="BLO129" s="3"/>
      <c r="BLP129" s="3"/>
      <c r="BLQ129" s="3"/>
      <c r="BLR129" s="3"/>
      <c r="BLS129" s="3"/>
      <c r="BLT129" s="3"/>
      <c r="BLU129" s="3"/>
      <c r="BLV129" s="3"/>
      <c r="BLW129" s="3"/>
      <c r="BLX129" s="3"/>
      <c r="BLY129" s="3"/>
      <c r="BLZ129" s="3"/>
      <c r="BMA129" s="3"/>
      <c r="BMB129" s="3"/>
      <c r="BMC129" s="3"/>
      <c r="BMD129" s="3"/>
      <c r="BME129" s="3"/>
      <c r="BMF129" s="3"/>
      <c r="BMG129" s="3"/>
      <c r="BMH129" s="3"/>
      <c r="BMI129" s="3"/>
      <c r="BMJ129" s="3"/>
      <c r="BMK129" s="3"/>
      <c r="BML129" s="3"/>
      <c r="BMM129" s="3"/>
      <c r="BMN129" s="3"/>
      <c r="BMO129" s="3"/>
      <c r="BMP129" s="3"/>
      <c r="BMQ129" s="3"/>
      <c r="BMR129" s="3"/>
      <c r="BMS129" s="3"/>
      <c r="BMT129" s="3"/>
      <c r="BMU129" s="3"/>
      <c r="BMV129" s="3"/>
      <c r="BMW129" s="3"/>
      <c r="BMX129" s="3"/>
      <c r="BMY129" s="3"/>
      <c r="BMZ129" s="3"/>
      <c r="BNA129" s="3"/>
      <c r="BNB129" s="3"/>
      <c r="BNC129" s="3"/>
      <c r="BND129" s="3"/>
      <c r="BNE129" s="3"/>
      <c r="BNF129" s="3"/>
      <c r="BNG129" s="3"/>
      <c r="BNH129" s="3"/>
      <c r="BNI129" s="3"/>
      <c r="BNJ129" s="3"/>
      <c r="BNK129" s="3"/>
      <c r="BNL129" s="3"/>
      <c r="BNM129" s="3"/>
      <c r="BNN129" s="3"/>
      <c r="BNO129" s="3"/>
      <c r="BNP129" s="3"/>
      <c r="BNQ129" s="3"/>
      <c r="BNR129" s="3"/>
      <c r="BNS129" s="3"/>
      <c r="BNT129" s="3"/>
      <c r="BNU129" s="3"/>
      <c r="BNV129" s="3"/>
      <c r="BNW129" s="3"/>
      <c r="BNX129" s="3"/>
      <c r="BNY129" s="3"/>
      <c r="BNZ129" s="3"/>
      <c r="BOA129" s="3"/>
      <c r="BOB129" s="3"/>
      <c r="BOC129" s="3"/>
      <c r="BOD129" s="3"/>
      <c r="BOE129" s="3"/>
      <c r="BOF129" s="3"/>
      <c r="BOG129" s="3"/>
      <c r="BOH129" s="3"/>
      <c r="BOI129" s="3"/>
      <c r="BOJ129" s="3"/>
      <c r="BOK129" s="3"/>
      <c r="BOL129" s="3"/>
      <c r="BOM129" s="3"/>
      <c r="BON129" s="3"/>
      <c r="BOO129" s="3"/>
      <c r="BOP129" s="3"/>
      <c r="BOQ129" s="3"/>
      <c r="BOR129" s="3"/>
      <c r="BOS129" s="3"/>
      <c r="BOT129" s="3"/>
      <c r="BOU129" s="3"/>
      <c r="BOV129" s="3"/>
      <c r="BOW129" s="3"/>
      <c r="BOX129" s="3"/>
      <c r="BOY129" s="3"/>
      <c r="BOZ129" s="3"/>
      <c r="BPA129" s="3"/>
      <c r="BPB129" s="3"/>
      <c r="BPC129" s="3"/>
      <c r="BPD129" s="3"/>
      <c r="BPE129" s="3"/>
      <c r="BPF129" s="3"/>
      <c r="BPG129" s="3"/>
      <c r="BPH129" s="3"/>
      <c r="BPI129" s="3"/>
      <c r="BPJ129" s="3"/>
      <c r="BPK129" s="3"/>
      <c r="BPL129" s="3"/>
      <c r="BPM129" s="3"/>
      <c r="BPN129" s="3"/>
      <c r="BPO129" s="3"/>
      <c r="BPP129" s="3"/>
      <c r="BPQ129" s="3"/>
      <c r="BPR129" s="3"/>
      <c r="BPS129" s="3"/>
      <c r="BPT129" s="3"/>
      <c r="BPU129" s="3"/>
      <c r="BPV129" s="3"/>
      <c r="BPW129" s="3"/>
      <c r="BPX129" s="3"/>
      <c r="BPY129" s="3"/>
      <c r="BPZ129" s="3"/>
      <c r="BQA129" s="3"/>
      <c r="BQB129" s="3"/>
      <c r="BQC129" s="3"/>
      <c r="BQD129" s="3"/>
      <c r="BQE129" s="3"/>
      <c r="BQF129" s="3"/>
      <c r="BQG129" s="3"/>
      <c r="BQH129" s="3"/>
      <c r="BQI129" s="3"/>
      <c r="BQJ129" s="3"/>
      <c r="BQK129" s="3"/>
      <c r="BQL129" s="3"/>
      <c r="BQM129" s="3"/>
      <c r="BQN129" s="3"/>
      <c r="BQO129" s="3"/>
      <c r="BQP129" s="3"/>
      <c r="BQQ129" s="3"/>
      <c r="BQR129" s="3"/>
      <c r="BQS129" s="3"/>
      <c r="BQT129" s="3"/>
      <c r="BQU129" s="3"/>
      <c r="BQV129" s="3"/>
      <c r="BQW129" s="3"/>
      <c r="BQX129" s="3"/>
      <c r="BQY129" s="3"/>
      <c r="BQZ129" s="3"/>
      <c r="BRA129" s="3"/>
      <c r="BRB129" s="3"/>
      <c r="BRC129" s="3"/>
      <c r="BRD129" s="3"/>
      <c r="BRE129" s="3"/>
      <c r="BRF129" s="3"/>
      <c r="BRG129" s="3"/>
      <c r="BRH129" s="3"/>
      <c r="BRI129" s="3"/>
      <c r="BRJ129" s="3"/>
      <c r="BRK129" s="3"/>
      <c r="BRL129" s="3"/>
      <c r="BRM129" s="3"/>
      <c r="BRN129" s="3"/>
      <c r="BRO129" s="3"/>
      <c r="BRP129" s="3"/>
      <c r="BRQ129" s="3"/>
      <c r="BRR129" s="3"/>
      <c r="BRS129" s="3"/>
      <c r="BRT129" s="3"/>
      <c r="BRU129" s="3"/>
      <c r="BRV129" s="3"/>
      <c r="BRW129" s="3"/>
      <c r="BRX129" s="3"/>
      <c r="BRY129" s="3"/>
      <c r="BRZ129" s="3"/>
      <c r="BSA129" s="3"/>
      <c r="BSB129" s="3"/>
      <c r="BSC129" s="3"/>
      <c r="BSD129" s="3"/>
      <c r="BSE129" s="3"/>
      <c r="BSF129" s="3"/>
      <c r="BSG129" s="3"/>
      <c r="BSH129" s="3"/>
      <c r="BSI129" s="3"/>
      <c r="BSJ129" s="3"/>
      <c r="BSK129" s="3"/>
      <c r="BSL129" s="3"/>
      <c r="BSM129" s="3"/>
      <c r="BSN129" s="3"/>
      <c r="BSO129" s="3"/>
      <c r="BSP129" s="3"/>
      <c r="BSQ129" s="3"/>
      <c r="BSR129" s="3"/>
      <c r="BSS129" s="3"/>
      <c r="BST129" s="3"/>
      <c r="BSU129" s="3"/>
      <c r="BSV129" s="3"/>
      <c r="BSW129" s="3"/>
      <c r="BSX129" s="3"/>
      <c r="BSY129" s="3"/>
      <c r="BSZ129" s="3"/>
      <c r="BTA129" s="3"/>
      <c r="BTB129" s="3"/>
      <c r="BTC129" s="3"/>
      <c r="BTD129" s="3"/>
      <c r="BTE129" s="3"/>
      <c r="BTF129" s="3"/>
      <c r="BTG129" s="3"/>
      <c r="BTH129" s="3"/>
      <c r="BTI129" s="3"/>
      <c r="BTJ129" s="3"/>
      <c r="BTK129" s="3"/>
      <c r="BTL129" s="3"/>
      <c r="BTM129" s="3"/>
      <c r="BTN129" s="3"/>
      <c r="BTO129" s="3"/>
      <c r="BTP129" s="3"/>
      <c r="BTQ129" s="3"/>
      <c r="BTR129" s="3"/>
      <c r="BTS129" s="3"/>
      <c r="BTT129" s="3"/>
      <c r="BTU129" s="3"/>
      <c r="BTV129" s="3"/>
      <c r="BTW129" s="3"/>
      <c r="BTX129" s="3"/>
      <c r="BTY129" s="3"/>
      <c r="BTZ129" s="3"/>
      <c r="BUA129" s="3"/>
      <c r="BUB129" s="3"/>
      <c r="BUC129" s="3"/>
      <c r="BUD129" s="3"/>
      <c r="BUE129" s="3"/>
      <c r="BUF129" s="3"/>
      <c r="BUG129" s="3"/>
      <c r="BUH129" s="3"/>
      <c r="BUI129" s="3"/>
      <c r="BUJ129" s="3"/>
      <c r="BUK129" s="3"/>
      <c r="BUL129" s="3"/>
      <c r="BUM129" s="3"/>
      <c r="BUN129" s="3"/>
      <c r="BUO129" s="3"/>
      <c r="BUP129" s="3"/>
      <c r="BUQ129" s="3"/>
      <c r="BUR129" s="3"/>
      <c r="BUS129" s="3"/>
      <c r="BUT129" s="3"/>
      <c r="BUU129" s="3"/>
      <c r="BUV129" s="3"/>
      <c r="BUW129" s="3"/>
      <c r="BUX129" s="3"/>
      <c r="BUY129" s="3"/>
      <c r="BUZ129" s="3"/>
      <c r="BVA129" s="3"/>
      <c r="BVB129" s="3"/>
      <c r="BVC129" s="3"/>
      <c r="BVD129" s="3"/>
      <c r="BVE129" s="3"/>
      <c r="BVF129" s="3"/>
      <c r="BVG129" s="3"/>
      <c r="BVH129" s="3"/>
      <c r="BVI129" s="3"/>
      <c r="BVJ129" s="3"/>
      <c r="BVK129" s="3"/>
      <c r="BVL129" s="3"/>
      <c r="BVM129" s="3"/>
      <c r="BVN129" s="3"/>
      <c r="BVO129" s="3"/>
      <c r="BVP129" s="3"/>
      <c r="BVQ129" s="3"/>
      <c r="BVR129" s="3"/>
      <c r="BVS129" s="3"/>
      <c r="BVT129" s="3"/>
      <c r="BVU129" s="3"/>
      <c r="BVV129" s="3"/>
      <c r="BVW129" s="3"/>
      <c r="BVX129" s="3"/>
      <c r="BVY129" s="3"/>
      <c r="BVZ129" s="3"/>
      <c r="BWA129" s="3"/>
      <c r="BWB129" s="3"/>
      <c r="BWC129" s="3"/>
      <c r="BWD129" s="3"/>
      <c r="BWE129" s="3"/>
      <c r="BWF129" s="3"/>
      <c r="BWG129" s="3"/>
      <c r="BWH129" s="3"/>
      <c r="BWI129" s="3"/>
      <c r="BWJ129" s="3"/>
      <c r="BWK129" s="3"/>
      <c r="BWL129" s="3"/>
      <c r="BWM129" s="3"/>
      <c r="BWN129" s="3"/>
      <c r="BWO129" s="3"/>
      <c r="BWP129" s="3"/>
      <c r="BWQ129" s="3"/>
      <c r="BWR129" s="3"/>
      <c r="BWS129" s="3"/>
      <c r="BWT129" s="3"/>
      <c r="BWU129" s="3"/>
      <c r="BWV129" s="3"/>
      <c r="BWW129" s="3"/>
      <c r="BWX129" s="3"/>
      <c r="BWY129" s="3"/>
      <c r="BWZ129" s="3"/>
      <c r="BXA129" s="3"/>
      <c r="BXB129" s="3"/>
      <c r="BXC129" s="3"/>
      <c r="BXD129" s="3"/>
      <c r="BXE129" s="3"/>
      <c r="BXF129" s="3"/>
      <c r="BXG129" s="3"/>
      <c r="BXH129" s="3"/>
      <c r="BXI129" s="3"/>
      <c r="BXJ129" s="3"/>
      <c r="BXK129" s="3"/>
      <c r="BXL129" s="3"/>
      <c r="BXM129" s="3"/>
      <c r="BXN129" s="3"/>
      <c r="BXO129" s="3"/>
      <c r="BXP129" s="3"/>
      <c r="BXQ129" s="3"/>
      <c r="BXR129" s="3"/>
      <c r="BXS129" s="3"/>
      <c r="BXT129" s="3"/>
      <c r="BXU129" s="3"/>
      <c r="BXV129" s="3"/>
      <c r="BXW129" s="3"/>
      <c r="BXX129" s="3"/>
      <c r="BXY129" s="3"/>
      <c r="BXZ129" s="3"/>
      <c r="BYA129" s="3"/>
      <c r="BYB129" s="3"/>
      <c r="BYC129" s="3"/>
      <c r="BYD129" s="3"/>
      <c r="BYE129" s="3"/>
      <c r="BYF129" s="3"/>
      <c r="BYG129" s="3"/>
      <c r="BYH129" s="3"/>
      <c r="BYI129" s="3"/>
      <c r="BYJ129" s="3"/>
      <c r="BYK129" s="3"/>
      <c r="BYL129" s="3"/>
      <c r="BYM129" s="3"/>
      <c r="BYN129" s="3"/>
      <c r="BYO129" s="3"/>
      <c r="BYP129" s="3"/>
      <c r="BYQ129" s="3"/>
      <c r="BYR129" s="3"/>
      <c r="BYS129" s="3"/>
      <c r="BYT129" s="3"/>
      <c r="BYU129" s="3"/>
      <c r="BYV129" s="3"/>
      <c r="BYW129" s="3"/>
      <c r="BYX129" s="3"/>
      <c r="BYY129" s="3"/>
      <c r="BYZ129" s="3"/>
      <c r="BZA129" s="3"/>
      <c r="BZB129" s="3"/>
      <c r="BZC129" s="3"/>
      <c r="BZD129" s="3"/>
      <c r="BZE129" s="3"/>
      <c r="BZF129" s="3"/>
      <c r="BZG129" s="3"/>
      <c r="BZH129" s="3"/>
      <c r="BZI129" s="3"/>
      <c r="BZJ129" s="3"/>
      <c r="BZK129" s="3"/>
      <c r="BZL129" s="3"/>
      <c r="BZM129" s="3"/>
      <c r="BZN129" s="3"/>
      <c r="BZO129" s="3"/>
      <c r="BZP129" s="3"/>
      <c r="BZQ129" s="3"/>
      <c r="BZR129" s="3"/>
      <c r="BZS129" s="3"/>
      <c r="BZT129" s="3"/>
      <c r="BZU129" s="3"/>
      <c r="BZV129" s="3"/>
      <c r="BZW129" s="3"/>
      <c r="BZX129" s="3"/>
      <c r="BZY129" s="3"/>
      <c r="BZZ129" s="3"/>
      <c r="CAA129" s="3"/>
      <c r="CAB129" s="3"/>
      <c r="CAC129" s="3"/>
      <c r="CAD129" s="3"/>
      <c r="CAE129" s="3"/>
      <c r="CAF129" s="3"/>
      <c r="CAG129" s="3"/>
      <c r="CAH129" s="3"/>
      <c r="CAI129" s="3"/>
      <c r="CAJ129" s="3"/>
      <c r="CAK129" s="3"/>
      <c r="CAL129" s="3"/>
      <c r="CAM129" s="3"/>
      <c r="CAN129" s="3"/>
      <c r="CAO129" s="3"/>
      <c r="CAP129" s="3"/>
      <c r="CAQ129" s="3"/>
      <c r="CAR129" s="3"/>
      <c r="CAS129" s="3"/>
      <c r="CAT129" s="3"/>
      <c r="CAU129" s="3"/>
      <c r="CAV129" s="3"/>
      <c r="CAW129" s="3"/>
      <c r="CAX129" s="3"/>
      <c r="CAY129" s="3"/>
      <c r="CAZ129" s="3"/>
      <c r="CBA129" s="3"/>
      <c r="CBB129" s="3"/>
      <c r="CBC129" s="3"/>
      <c r="CBD129" s="3"/>
      <c r="CBE129" s="3"/>
      <c r="CBF129" s="3"/>
      <c r="CBG129" s="3"/>
      <c r="CBH129" s="3"/>
      <c r="CBI129" s="3"/>
      <c r="CBJ129" s="3"/>
      <c r="CBK129" s="3"/>
      <c r="CBL129" s="3"/>
      <c r="CBM129" s="3"/>
      <c r="CBN129" s="3"/>
      <c r="CBO129" s="3"/>
      <c r="CBP129" s="3"/>
      <c r="CBQ129" s="3"/>
      <c r="CBR129" s="3"/>
      <c r="CBS129" s="3"/>
      <c r="CBT129" s="3"/>
      <c r="CBU129" s="3"/>
      <c r="CBV129" s="3"/>
      <c r="CBW129" s="3"/>
      <c r="CBX129" s="3"/>
      <c r="CBY129" s="3"/>
      <c r="CBZ129" s="3"/>
      <c r="CCA129" s="3"/>
      <c r="CCB129" s="3"/>
      <c r="CCC129" s="3"/>
      <c r="CCD129" s="3"/>
      <c r="CCE129" s="3"/>
      <c r="CCF129" s="3"/>
      <c r="CCG129" s="3"/>
      <c r="CCH129" s="3"/>
      <c r="CCI129" s="3"/>
      <c r="CCJ129" s="3"/>
      <c r="CCK129" s="3"/>
      <c r="CCL129" s="3"/>
      <c r="CCM129" s="3"/>
      <c r="CCN129" s="3"/>
      <c r="CCO129" s="3"/>
      <c r="CCP129" s="3"/>
      <c r="CCQ129" s="3"/>
      <c r="CCR129" s="3"/>
      <c r="CCS129" s="3"/>
      <c r="CCT129" s="3"/>
      <c r="CCU129" s="3"/>
      <c r="CCV129" s="3"/>
      <c r="CCW129" s="3"/>
      <c r="CCX129" s="3"/>
      <c r="CCY129" s="3"/>
      <c r="CCZ129" s="3"/>
      <c r="CDA129" s="3"/>
      <c r="CDB129" s="3"/>
      <c r="CDC129" s="3"/>
      <c r="CDD129" s="3"/>
      <c r="CDE129" s="3"/>
      <c r="CDF129" s="3"/>
      <c r="CDG129" s="3"/>
      <c r="CDH129" s="3"/>
      <c r="CDI129" s="3"/>
      <c r="CDJ129" s="3"/>
      <c r="CDK129" s="3"/>
      <c r="CDL129" s="3"/>
      <c r="CDM129" s="3"/>
      <c r="CDN129" s="3"/>
      <c r="CDO129" s="3"/>
      <c r="CDP129" s="3"/>
      <c r="CDQ129" s="3"/>
      <c r="CDR129" s="3"/>
      <c r="CDS129" s="3"/>
      <c r="CDT129" s="3"/>
      <c r="CDU129" s="3"/>
      <c r="CDV129" s="3"/>
      <c r="CDW129" s="3"/>
      <c r="CDX129" s="3"/>
      <c r="CDY129" s="3"/>
      <c r="CDZ129" s="3"/>
      <c r="CEA129" s="3"/>
      <c r="CEB129" s="3"/>
      <c r="CEC129" s="3"/>
      <c r="CED129" s="3"/>
      <c r="CEE129" s="3"/>
      <c r="CEF129" s="3"/>
      <c r="CEG129" s="3"/>
      <c r="CEH129" s="3"/>
      <c r="CEI129" s="3"/>
      <c r="CEJ129" s="3"/>
      <c r="CEK129" s="3"/>
      <c r="CEL129" s="3"/>
      <c r="CEM129" s="3"/>
      <c r="CEN129" s="3"/>
      <c r="CEO129" s="3"/>
      <c r="CEP129" s="3"/>
      <c r="CEQ129" s="3"/>
      <c r="CER129" s="3"/>
      <c r="CES129" s="3"/>
      <c r="CET129" s="3"/>
      <c r="CEU129" s="3"/>
      <c r="CEV129" s="3"/>
      <c r="CEW129" s="3"/>
      <c r="CEX129" s="3"/>
      <c r="CEY129" s="3"/>
      <c r="CEZ129" s="3"/>
      <c r="CFA129" s="3"/>
      <c r="CFB129" s="3"/>
      <c r="CFC129" s="3"/>
      <c r="CFD129" s="3"/>
      <c r="CFE129" s="3"/>
      <c r="CFF129" s="3"/>
      <c r="CFG129" s="3"/>
      <c r="CFH129" s="3"/>
      <c r="CFI129" s="3"/>
      <c r="CFJ129" s="3"/>
      <c r="CFK129" s="3"/>
      <c r="CFL129" s="3"/>
      <c r="CFM129" s="3"/>
      <c r="CFN129" s="3"/>
      <c r="CFO129" s="3"/>
      <c r="CFP129" s="3"/>
      <c r="CFQ129" s="3"/>
      <c r="CFR129" s="3"/>
      <c r="CFS129" s="3"/>
      <c r="CFT129" s="3"/>
      <c r="CFU129" s="3"/>
      <c r="CFV129" s="3"/>
      <c r="CFW129" s="3"/>
      <c r="CFX129" s="3"/>
      <c r="CFY129" s="3"/>
      <c r="CFZ129" s="3"/>
      <c r="CGA129" s="3"/>
      <c r="CGB129" s="3"/>
      <c r="CGC129" s="3"/>
      <c r="CGD129" s="3"/>
      <c r="CGE129" s="3"/>
      <c r="CGF129" s="3"/>
      <c r="CGG129" s="3"/>
      <c r="CGH129" s="3"/>
      <c r="CGI129" s="3"/>
      <c r="CGJ129" s="3"/>
      <c r="CGK129" s="3"/>
      <c r="CGL129" s="3"/>
      <c r="CGM129" s="3"/>
      <c r="CGN129" s="3"/>
      <c r="CGO129" s="3"/>
      <c r="CGP129" s="3"/>
      <c r="CGQ129" s="3"/>
      <c r="CGR129" s="3"/>
      <c r="CGS129" s="3"/>
      <c r="CGT129" s="3"/>
      <c r="CGU129" s="3"/>
      <c r="CGV129" s="3"/>
      <c r="CGW129" s="3"/>
      <c r="CGX129" s="3"/>
      <c r="CGY129" s="3"/>
      <c r="CGZ129" s="3"/>
      <c r="CHA129" s="3"/>
      <c r="CHB129" s="3"/>
      <c r="CHC129" s="3"/>
      <c r="CHD129" s="3"/>
      <c r="CHE129" s="3"/>
      <c r="CHF129" s="3"/>
      <c r="CHG129" s="3"/>
      <c r="CHH129" s="3"/>
      <c r="CHI129" s="3"/>
      <c r="CHJ129" s="3"/>
      <c r="CHK129" s="3"/>
      <c r="CHL129" s="3"/>
      <c r="CHM129" s="3"/>
      <c r="CHN129" s="3"/>
      <c r="CHO129" s="3"/>
      <c r="CHP129" s="3"/>
      <c r="CHQ129" s="3"/>
      <c r="CHR129" s="3"/>
      <c r="CHS129" s="3"/>
      <c r="CHT129" s="3"/>
      <c r="CHU129" s="3"/>
      <c r="CHV129" s="3"/>
      <c r="CHW129" s="3"/>
      <c r="CHX129" s="3"/>
      <c r="CHY129" s="3"/>
      <c r="CHZ129" s="3"/>
      <c r="CIA129" s="3"/>
      <c r="CIB129" s="3"/>
      <c r="CIC129" s="3"/>
      <c r="CID129" s="3"/>
      <c r="CIE129" s="3"/>
      <c r="CIF129" s="3"/>
      <c r="CIG129" s="3"/>
      <c r="CIH129" s="3"/>
      <c r="CII129" s="3"/>
      <c r="CIJ129" s="3"/>
      <c r="CIK129" s="3"/>
      <c r="CIL129" s="3"/>
      <c r="CIM129" s="3"/>
      <c r="CIN129" s="3"/>
      <c r="CIO129" s="3"/>
      <c r="CIP129" s="3"/>
      <c r="CIQ129" s="3"/>
      <c r="CIR129" s="3"/>
      <c r="CIS129" s="3"/>
      <c r="CIT129" s="3"/>
      <c r="CIU129" s="3"/>
      <c r="CIV129" s="3"/>
      <c r="CIW129" s="3"/>
      <c r="CIX129" s="3"/>
      <c r="CIY129" s="3"/>
      <c r="CIZ129" s="3"/>
      <c r="CJA129" s="3"/>
      <c r="CJB129" s="3"/>
      <c r="CJC129" s="3"/>
      <c r="CJD129" s="3"/>
      <c r="CJE129" s="3"/>
      <c r="CJF129" s="3"/>
      <c r="CJG129" s="3"/>
      <c r="CJH129" s="3"/>
      <c r="CJI129" s="3"/>
      <c r="CJJ129" s="3"/>
      <c r="CJK129" s="3"/>
      <c r="CJL129" s="3"/>
      <c r="CJM129" s="3"/>
      <c r="CJN129" s="3"/>
      <c r="CJO129" s="3"/>
      <c r="CJP129" s="3"/>
      <c r="CJQ129" s="3"/>
      <c r="CJR129" s="3"/>
      <c r="CJS129" s="3"/>
      <c r="CJT129" s="3"/>
      <c r="CJU129" s="3"/>
      <c r="CJV129" s="3"/>
      <c r="CJW129" s="3"/>
      <c r="CJX129" s="3"/>
      <c r="CJY129" s="3"/>
      <c r="CJZ129" s="3"/>
      <c r="CKA129" s="3"/>
      <c r="CKB129" s="3"/>
      <c r="CKC129" s="3"/>
      <c r="CKD129" s="3"/>
      <c r="CKE129" s="3"/>
      <c r="CKF129" s="3"/>
      <c r="CKG129" s="3"/>
      <c r="CKH129" s="3"/>
      <c r="CKI129" s="3"/>
      <c r="CKJ129" s="3"/>
      <c r="CKK129" s="3"/>
      <c r="CKL129" s="3"/>
      <c r="CKM129" s="3"/>
      <c r="CKN129" s="3"/>
      <c r="CKO129" s="3"/>
      <c r="CKP129" s="3"/>
      <c r="CKQ129" s="3"/>
      <c r="CKR129" s="3"/>
      <c r="CKS129" s="3"/>
      <c r="CKT129" s="3"/>
      <c r="CKU129" s="3"/>
      <c r="CKV129" s="3"/>
      <c r="CKW129" s="3"/>
      <c r="CKX129" s="3"/>
      <c r="CKY129" s="3"/>
      <c r="CKZ129" s="3"/>
      <c r="CLA129" s="3"/>
      <c r="CLB129" s="3"/>
      <c r="CLC129" s="3"/>
      <c r="CLD129" s="3"/>
      <c r="CLE129" s="3"/>
      <c r="CLF129" s="3"/>
      <c r="CLG129" s="3"/>
      <c r="CLH129" s="3"/>
      <c r="CLI129" s="3"/>
      <c r="CLJ129" s="3"/>
      <c r="CLK129" s="3"/>
      <c r="CLL129" s="3"/>
      <c r="CLM129" s="3"/>
      <c r="CLN129" s="3"/>
      <c r="CLO129" s="3"/>
      <c r="CLP129" s="3"/>
      <c r="CLQ129" s="3"/>
      <c r="CLR129" s="3"/>
      <c r="CLS129" s="3"/>
      <c r="CLT129" s="3"/>
      <c r="CLU129" s="3"/>
      <c r="CLV129" s="3"/>
      <c r="CLW129" s="3"/>
      <c r="CLX129" s="3"/>
      <c r="CLY129" s="3"/>
      <c r="CLZ129" s="3"/>
      <c r="CMA129" s="3"/>
      <c r="CMB129" s="3"/>
      <c r="CMC129" s="3"/>
      <c r="CMD129" s="3"/>
      <c r="CME129" s="3"/>
      <c r="CMF129" s="3"/>
      <c r="CMG129" s="3"/>
      <c r="CMH129" s="3"/>
      <c r="CMI129" s="3"/>
      <c r="CMJ129" s="3"/>
      <c r="CMK129" s="3"/>
      <c r="CML129" s="3"/>
      <c r="CMM129" s="3"/>
      <c r="CMN129" s="3"/>
      <c r="CMO129" s="3"/>
      <c r="CMP129" s="3"/>
      <c r="CMQ129" s="3"/>
      <c r="CMR129" s="3"/>
      <c r="CMS129" s="3"/>
      <c r="CMT129" s="3"/>
      <c r="CMU129" s="3"/>
      <c r="CMV129" s="3"/>
      <c r="CMW129" s="3"/>
      <c r="CMX129" s="3"/>
      <c r="CMY129" s="3"/>
      <c r="CMZ129" s="3"/>
      <c r="CNA129" s="3"/>
      <c r="CNB129" s="3"/>
      <c r="CNC129" s="3"/>
      <c r="CND129" s="3"/>
      <c r="CNE129" s="3"/>
      <c r="CNF129" s="3"/>
      <c r="CNG129" s="3"/>
      <c r="CNH129" s="3"/>
      <c r="CNI129" s="3"/>
      <c r="CNJ129" s="3"/>
      <c r="CNK129" s="3"/>
      <c r="CNL129" s="3"/>
      <c r="CNM129" s="3"/>
      <c r="CNN129" s="3"/>
      <c r="CNO129" s="3"/>
      <c r="CNP129" s="3"/>
      <c r="CNQ129" s="3"/>
      <c r="CNR129" s="3"/>
      <c r="CNS129" s="3"/>
      <c r="CNT129" s="3"/>
      <c r="CNU129" s="3"/>
      <c r="CNV129" s="3"/>
      <c r="CNW129" s="3"/>
      <c r="CNX129" s="3"/>
      <c r="CNY129" s="3"/>
      <c r="CNZ129" s="3"/>
      <c r="COA129" s="3"/>
      <c r="COB129" s="3"/>
      <c r="COC129" s="3"/>
      <c r="COD129" s="3"/>
      <c r="COE129" s="3"/>
      <c r="COF129" s="3"/>
      <c r="COG129" s="3"/>
      <c r="COH129" s="3"/>
      <c r="COI129" s="3"/>
      <c r="COJ129" s="3"/>
      <c r="COK129" s="3"/>
      <c r="COL129" s="3"/>
      <c r="COM129" s="3"/>
      <c r="CON129" s="3"/>
      <c r="COO129" s="3"/>
      <c r="COP129" s="3"/>
      <c r="COQ129" s="3"/>
      <c r="COR129" s="3"/>
      <c r="COS129" s="3"/>
      <c r="COT129" s="3"/>
      <c r="COU129" s="3"/>
      <c r="COV129" s="3"/>
      <c r="COW129" s="3"/>
      <c r="COX129" s="3"/>
      <c r="COY129" s="3"/>
      <c r="COZ129" s="3"/>
      <c r="CPA129" s="3"/>
      <c r="CPB129" s="3"/>
      <c r="CPC129" s="3"/>
      <c r="CPD129" s="3"/>
      <c r="CPE129" s="3"/>
      <c r="CPF129" s="3"/>
      <c r="CPG129" s="3"/>
      <c r="CPH129" s="3"/>
      <c r="CPI129" s="3"/>
      <c r="CPJ129" s="3"/>
      <c r="CPK129" s="3"/>
      <c r="CPL129" s="3"/>
      <c r="CPM129" s="3"/>
      <c r="CPN129" s="3"/>
      <c r="CPO129" s="3"/>
      <c r="CPP129" s="3"/>
      <c r="CPQ129" s="3"/>
      <c r="CPR129" s="3"/>
      <c r="CPS129" s="3"/>
      <c r="CPT129" s="3"/>
      <c r="CPU129" s="3"/>
      <c r="CPV129" s="3"/>
      <c r="CPW129" s="3"/>
      <c r="CPX129" s="3"/>
      <c r="CPY129" s="3"/>
      <c r="CPZ129" s="3"/>
      <c r="CQA129" s="3"/>
      <c r="CQB129" s="3"/>
      <c r="CQC129" s="3"/>
      <c r="CQD129" s="3"/>
      <c r="CQE129" s="3"/>
      <c r="CQF129" s="3"/>
      <c r="CQG129" s="3"/>
      <c r="CQH129" s="3"/>
      <c r="CQI129" s="3"/>
      <c r="CQJ129" s="3"/>
      <c r="CQK129" s="3"/>
      <c r="CQL129" s="3"/>
      <c r="CQM129" s="3"/>
      <c r="CQN129" s="3"/>
      <c r="CQO129" s="3"/>
      <c r="CQP129" s="3"/>
      <c r="CQQ129" s="3"/>
      <c r="CQR129" s="3"/>
      <c r="CQS129" s="3"/>
      <c r="CQT129" s="3"/>
      <c r="CQU129" s="3"/>
      <c r="CQV129" s="3"/>
      <c r="CQW129" s="3"/>
      <c r="CQX129" s="3"/>
      <c r="CQY129" s="3"/>
      <c r="CQZ129" s="3"/>
      <c r="CRA129" s="3"/>
      <c r="CRB129" s="3"/>
      <c r="CRC129" s="3"/>
      <c r="CRD129" s="3"/>
      <c r="CRE129" s="3"/>
      <c r="CRF129" s="3"/>
      <c r="CRG129" s="3"/>
      <c r="CRH129" s="3"/>
      <c r="CRI129" s="3"/>
      <c r="CRJ129" s="3"/>
      <c r="CRK129" s="3"/>
      <c r="CRL129" s="3"/>
      <c r="CRM129" s="3"/>
      <c r="CRN129" s="3"/>
      <c r="CRO129" s="3"/>
      <c r="CRP129" s="3"/>
      <c r="CRQ129" s="3"/>
      <c r="CRR129" s="3"/>
      <c r="CRS129" s="3"/>
      <c r="CRT129" s="3"/>
      <c r="CRU129" s="3"/>
      <c r="CRV129" s="3"/>
      <c r="CRW129" s="3"/>
      <c r="CRX129" s="3"/>
      <c r="CRY129" s="3"/>
      <c r="CRZ129" s="3"/>
      <c r="CSA129" s="3"/>
      <c r="CSB129" s="3"/>
      <c r="CSC129" s="3"/>
      <c r="CSD129" s="3"/>
      <c r="CSE129" s="3"/>
      <c r="CSF129" s="3"/>
      <c r="CSG129" s="3"/>
      <c r="CSH129" s="3"/>
      <c r="CSI129" s="3"/>
      <c r="CSJ129" s="3"/>
      <c r="CSK129" s="3"/>
      <c r="CSL129" s="3"/>
      <c r="CSM129" s="3"/>
      <c r="CSN129" s="3"/>
      <c r="CSO129" s="3"/>
      <c r="CSP129" s="3"/>
      <c r="CSQ129" s="3"/>
      <c r="CSR129" s="3"/>
      <c r="CSS129" s="3"/>
      <c r="CST129" s="3"/>
      <c r="CSU129" s="3"/>
      <c r="CSV129" s="3"/>
      <c r="CSW129" s="3"/>
      <c r="CSX129" s="3"/>
      <c r="CSY129" s="3"/>
      <c r="CSZ129" s="3"/>
      <c r="CTA129" s="3"/>
      <c r="CTB129" s="3"/>
      <c r="CTC129" s="3"/>
      <c r="CTD129" s="3"/>
      <c r="CTE129" s="3"/>
      <c r="CTF129" s="3"/>
      <c r="CTG129" s="3"/>
      <c r="CTH129" s="3"/>
      <c r="CTI129" s="3"/>
      <c r="CTJ129" s="3"/>
      <c r="CTK129" s="3"/>
      <c r="CTL129" s="3"/>
      <c r="CTM129" s="3"/>
      <c r="CTN129" s="3"/>
      <c r="CTO129" s="3"/>
      <c r="CTP129" s="3"/>
      <c r="CTQ129" s="3"/>
      <c r="CTR129" s="3"/>
      <c r="CTS129" s="3"/>
      <c r="CTT129" s="3"/>
      <c r="CTU129" s="3"/>
      <c r="CTV129" s="3"/>
      <c r="CTW129" s="3"/>
      <c r="CTX129" s="3"/>
      <c r="CTY129" s="3"/>
      <c r="CTZ129" s="3"/>
      <c r="CUA129" s="3"/>
      <c r="CUB129" s="3"/>
      <c r="CUC129" s="3"/>
      <c r="CUD129" s="3"/>
      <c r="CUE129" s="3"/>
      <c r="CUF129" s="3"/>
      <c r="CUG129" s="3"/>
      <c r="CUH129" s="3"/>
      <c r="CUI129" s="3"/>
      <c r="CUJ129" s="3"/>
      <c r="CUK129" s="3"/>
      <c r="CUL129" s="3"/>
      <c r="CUM129" s="3"/>
      <c r="CUN129" s="3"/>
      <c r="CUO129" s="3"/>
      <c r="CUP129" s="3"/>
      <c r="CUQ129" s="3"/>
      <c r="CUR129" s="3"/>
      <c r="CUS129" s="3"/>
      <c r="CUT129" s="3"/>
      <c r="CUU129" s="3"/>
      <c r="CUV129" s="3"/>
      <c r="CUW129" s="3"/>
      <c r="CUX129" s="3"/>
      <c r="CUY129" s="3"/>
      <c r="CUZ129" s="3"/>
      <c r="CVA129" s="3"/>
      <c r="CVB129" s="3"/>
      <c r="CVC129" s="3"/>
      <c r="CVD129" s="3"/>
      <c r="CVE129" s="3"/>
      <c r="CVF129" s="3"/>
      <c r="CVG129" s="3"/>
      <c r="CVH129" s="3"/>
      <c r="CVI129" s="3"/>
      <c r="CVJ129" s="3"/>
      <c r="CVK129" s="3"/>
      <c r="CVL129" s="3"/>
      <c r="CVM129" s="3"/>
      <c r="CVN129" s="3"/>
      <c r="CVO129" s="3"/>
      <c r="CVP129" s="3"/>
      <c r="CVQ129" s="3"/>
      <c r="CVR129" s="3"/>
      <c r="CVS129" s="3"/>
      <c r="CVT129" s="3"/>
      <c r="CVU129" s="3"/>
      <c r="CVV129" s="3"/>
      <c r="CVW129" s="3"/>
      <c r="CVX129" s="3"/>
      <c r="CVY129" s="3"/>
      <c r="CVZ129" s="3"/>
      <c r="CWA129" s="3"/>
      <c r="CWB129" s="3"/>
      <c r="CWC129" s="3"/>
      <c r="CWD129" s="3"/>
      <c r="CWE129" s="3"/>
      <c r="CWF129" s="3"/>
      <c r="CWG129" s="3"/>
      <c r="CWH129" s="3"/>
      <c r="CWI129" s="3"/>
      <c r="CWJ129" s="3"/>
      <c r="CWK129" s="3"/>
      <c r="CWL129" s="3"/>
      <c r="CWM129" s="3"/>
      <c r="CWN129" s="3"/>
      <c r="CWO129" s="3"/>
      <c r="CWP129" s="3"/>
      <c r="CWQ129" s="3"/>
      <c r="CWR129" s="3"/>
      <c r="CWS129" s="3"/>
      <c r="CWT129" s="3"/>
      <c r="CWU129" s="3"/>
      <c r="CWV129" s="3"/>
      <c r="CWW129" s="3"/>
      <c r="CWX129" s="3"/>
      <c r="CWY129" s="3"/>
      <c r="CWZ129" s="3"/>
      <c r="CXA129" s="3"/>
      <c r="CXB129" s="3"/>
      <c r="CXC129" s="3"/>
      <c r="CXD129" s="3"/>
      <c r="CXE129" s="3"/>
      <c r="CXF129" s="3"/>
      <c r="CXG129" s="3"/>
      <c r="CXH129" s="3"/>
      <c r="CXI129" s="3"/>
      <c r="CXJ129" s="3"/>
      <c r="CXK129" s="3"/>
      <c r="CXL129" s="3"/>
      <c r="CXM129" s="3"/>
      <c r="CXN129" s="3"/>
      <c r="CXO129" s="3"/>
      <c r="CXP129" s="3"/>
      <c r="CXQ129" s="3"/>
      <c r="CXR129" s="3"/>
      <c r="CXS129" s="3"/>
      <c r="CXT129" s="3"/>
      <c r="CXU129" s="3"/>
      <c r="CXV129" s="3"/>
      <c r="CXW129" s="3"/>
      <c r="CXX129" s="3"/>
      <c r="CXY129" s="3"/>
      <c r="CXZ129" s="3"/>
      <c r="CYA129" s="3"/>
      <c r="CYB129" s="3"/>
      <c r="CYC129" s="3"/>
      <c r="CYD129" s="3"/>
      <c r="CYE129" s="3"/>
      <c r="CYF129" s="3"/>
      <c r="CYG129" s="3"/>
      <c r="CYH129" s="3"/>
      <c r="CYI129" s="3"/>
      <c r="CYJ129" s="3"/>
      <c r="CYK129" s="3"/>
      <c r="CYL129" s="3"/>
      <c r="CYM129" s="3"/>
      <c r="CYN129" s="3"/>
      <c r="CYO129" s="3"/>
      <c r="CYP129" s="3"/>
      <c r="CYQ129" s="3"/>
      <c r="CYR129" s="3"/>
      <c r="CYS129" s="3"/>
      <c r="CYT129" s="3"/>
      <c r="CYU129" s="3"/>
      <c r="CYV129" s="3"/>
      <c r="CYW129" s="3"/>
      <c r="CYX129" s="3"/>
      <c r="CYY129" s="3"/>
      <c r="CYZ129" s="3"/>
      <c r="CZA129" s="3"/>
      <c r="CZB129" s="3"/>
      <c r="CZC129" s="3"/>
      <c r="CZD129" s="3"/>
      <c r="CZE129" s="3"/>
      <c r="CZF129" s="3"/>
      <c r="CZG129" s="3"/>
      <c r="CZH129" s="3"/>
      <c r="CZI129" s="3"/>
      <c r="CZJ129" s="3"/>
      <c r="CZK129" s="3"/>
      <c r="CZL129" s="3"/>
      <c r="CZM129" s="3"/>
      <c r="CZN129" s="3"/>
      <c r="CZO129" s="3"/>
      <c r="CZP129" s="3"/>
      <c r="CZQ129" s="3"/>
      <c r="CZR129" s="3"/>
      <c r="CZS129" s="3"/>
      <c r="CZT129" s="3"/>
      <c r="CZU129" s="3"/>
      <c r="CZV129" s="3"/>
      <c r="CZW129" s="3"/>
      <c r="CZX129" s="3"/>
      <c r="CZY129" s="3"/>
      <c r="CZZ129" s="3"/>
      <c r="DAA129" s="3"/>
      <c r="DAB129" s="3"/>
      <c r="DAC129" s="3"/>
      <c r="DAD129" s="3"/>
      <c r="DAE129" s="3"/>
      <c r="DAF129" s="3"/>
      <c r="DAG129" s="3"/>
      <c r="DAH129" s="3"/>
      <c r="DAI129" s="3"/>
      <c r="DAJ129" s="3"/>
      <c r="DAK129" s="3"/>
      <c r="DAL129" s="3"/>
      <c r="DAM129" s="3"/>
      <c r="DAN129" s="3"/>
      <c r="DAO129" s="3"/>
      <c r="DAP129" s="3"/>
      <c r="DAQ129" s="3"/>
      <c r="DAR129" s="3"/>
      <c r="DAS129" s="3"/>
      <c r="DAT129" s="3"/>
      <c r="DAU129" s="3"/>
      <c r="DAV129" s="3"/>
      <c r="DAW129" s="3"/>
      <c r="DAX129" s="3"/>
      <c r="DAY129" s="3"/>
      <c r="DAZ129" s="3"/>
      <c r="DBA129" s="3"/>
      <c r="DBB129" s="3"/>
      <c r="DBC129" s="3"/>
      <c r="DBD129" s="3"/>
      <c r="DBE129" s="3"/>
      <c r="DBF129" s="3"/>
      <c r="DBG129" s="3"/>
      <c r="DBH129" s="3"/>
      <c r="DBI129" s="3"/>
      <c r="DBJ129" s="3"/>
      <c r="DBK129" s="3"/>
      <c r="DBL129" s="3"/>
      <c r="DBM129" s="3"/>
      <c r="DBN129" s="3"/>
      <c r="DBO129" s="3"/>
      <c r="DBP129" s="3"/>
      <c r="DBQ129" s="3"/>
      <c r="DBR129" s="3"/>
      <c r="DBS129" s="3"/>
      <c r="DBT129" s="3"/>
      <c r="DBU129" s="3"/>
      <c r="DBV129" s="3"/>
      <c r="DBW129" s="3"/>
      <c r="DBX129" s="3"/>
      <c r="DBY129" s="3"/>
      <c r="DBZ129" s="3"/>
      <c r="DCA129" s="3"/>
      <c r="DCB129" s="3"/>
      <c r="DCC129" s="3"/>
      <c r="DCD129" s="3"/>
      <c r="DCE129" s="3"/>
      <c r="DCF129" s="3"/>
      <c r="DCG129" s="3"/>
      <c r="DCH129" s="3"/>
      <c r="DCI129" s="3"/>
      <c r="DCJ129" s="3"/>
      <c r="DCK129" s="3"/>
      <c r="DCL129" s="3"/>
      <c r="DCM129" s="3"/>
      <c r="DCN129" s="3"/>
      <c r="DCO129" s="3"/>
      <c r="DCP129" s="3"/>
      <c r="DCQ129" s="3"/>
      <c r="DCR129" s="3"/>
      <c r="DCS129" s="3"/>
      <c r="DCT129" s="3"/>
      <c r="DCU129" s="3"/>
      <c r="DCV129" s="3"/>
      <c r="DCW129" s="3"/>
      <c r="DCX129" s="3"/>
      <c r="DCY129" s="3"/>
      <c r="DCZ129" s="3"/>
      <c r="DDA129" s="3"/>
      <c r="DDB129" s="3"/>
      <c r="DDC129" s="3"/>
      <c r="DDD129" s="3"/>
      <c r="DDE129" s="3"/>
      <c r="DDF129" s="3"/>
      <c r="DDG129" s="3"/>
      <c r="DDH129" s="3"/>
      <c r="DDI129" s="3"/>
      <c r="DDJ129" s="3"/>
      <c r="DDK129" s="3"/>
      <c r="DDL129" s="3"/>
      <c r="DDM129" s="3"/>
      <c r="DDN129" s="3"/>
      <c r="DDO129" s="3"/>
      <c r="DDP129" s="3"/>
      <c r="DDQ129" s="3"/>
      <c r="DDR129" s="3"/>
      <c r="DDS129" s="3"/>
      <c r="DDT129" s="3"/>
      <c r="DDU129" s="3"/>
      <c r="DDV129" s="3"/>
      <c r="DDW129" s="3"/>
      <c r="DDX129" s="3"/>
      <c r="DDY129" s="3"/>
      <c r="DDZ129" s="3"/>
      <c r="DEA129" s="3"/>
      <c r="DEB129" s="3"/>
      <c r="DEC129" s="3"/>
      <c r="DED129" s="3"/>
      <c r="DEE129" s="3"/>
      <c r="DEF129" s="3"/>
      <c r="DEG129" s="3"/>
      <c r="DEH129" s="3"/>
      <c r="DEI129" s="3"/>
      <c r="DEJ129" s="3"/>
      <c r="DEK129" s="3"/>
      <c r="DEL129" s="3"/>
      <c r="DEM129" s="3"/>
      <c r="DEN129" s="3"/>
      <c r="DEO129" s="3"/>
      <c r="DEP129" s="3"/>
      <c r="DEQ129" s="3"/>
      <c r="DER129" s="3"/>
      <c r="DES129" s="3"/>
      <c r="DET129" s="3"/>
      <c r="DEU129" s="3"/>
      <c r="DEV129" s="3"/>
      <c r="DEW129" s="3"/>
      <c r="DEX129" s="3"/>
      <c r="DEY129" s="3"/>
      <c r="DEZ129" s="3"/>
      <c r="DFA129" s="3"/>
      <c r="DFB129" s="3"/>
      <c r="DFC129" s="3"/>
      <c r="DFD129" s="3"/>
      <c r="DFE129" s="3"/>
      <c r="DFF129" s="3"/>
      <c r="DFG129" s="3"/>
      <c r="DFH129" s="3"/>
      <c r="DFI129" s="3"/>
      <c r="DFJ129" s="3"/>
      <c r="DFK129" s="3"/>
      <c r="DFL129" s="3"/>
      <c r="DFM129" s="3"/>
      <c r="DFN129" s="3"/>
      <c r="DFO129" s="3"/>
      <c r="DFP129" s="3"/>
      <c r="DFQ129" s="3"/>
      <c r="DFR129" s="3"/>
      <c r="DFS129" s="3"/>
      <c r="DFT129" s="3"/>
      <c r="DFU129" s="3"/>
      <c r="DFV129" s="3"/>
      <c r="DFW129" s="3"/>
      <c r="DFX129" s="3"/>
      <c r="DFY129" s="3"/>
      <c r="DFZ129" s="3"/>
      <c r="DGA129" s="3"/>
      <c r="DGB129" s="3"/>
      <c r="DGC129" s="3"/>
      <c r="DGD129" s="3"/>
      <c r="DGE129" s="3"/>
      <c r="DGF129" s="3"/>
      <c r="DGG129" s="3"/>
      <c r="DGH129" s="3"/>
      <c r="DGI129" s="3"/>
      <c r="DGJ129" s="3"/>
      <c r="DGK129" s="3"/>
      <c r="DGL129" s="3"/>
      <c r="DGM129" s="3"/>
      <c r="DGN129" s="3"/>
      <c r="DGO129" s="3"/>
      <c r="DGP129" s="3"/>
      <c r="DGQ129" s="3"/>
      <c r="DGR129" s="3"/>
      <c r="DGS129" s="3"/>
      <c r="DGT129" s="3"/>
      <c r="DGU129" s="3"/>
      <c r="DGV129" s="3"/>
      <c r="DGW129" s="3"/>
      <c r="DGX129" s="3"/>
      <c r="DGY129" s="3"/>
      <c r="DGZ129" s="3"/>
      <c r="DHA129" s="3"/>
      <c r="DHB129" s="3"/>
      <c r="DHC129" s="3"/>
      <c r="DHD129" s="3"/>
      <c r="DHE129" s="3"/>
      <c r="DHF129" s="3"/>
      <c r="DHG129" s="3"/>
      <c r="DHH129" s="3"/>
      <c r="DHI129" s="3"/>
      <c r="DHJ129" s="3"/>
      <c r="DHK129" s="3"/>
      <c r="DHL129" s="3"/>
      <c r="DHM129" s="3"/>
      <c r="DHN129" s="3"/>
      <c r="DHO129" s="3"/>
      <c r="DHP129" s="3"/>
      <c r="DHQ129" s="3"/>
      <c r="DHR129" s="3"/>
      <c r="DHS129" s="3"/>
      <c r="DHT129" s="3"/>
      <c r="DHU129" s="3"/>
      <c r="DHV129" s="3"/>
      <c r="DHW129" s="3"/>
      <c r="DHX129" s="3"/>
      <c r="DHY129" s="3"/>
      <c r="DHZ129" s="3"/>
      <c r="DIA129" s="3"/>
      <c r="DIB129" s="3"/>
      <c r="DIC129" s="3"/>
      <c r="DID129" s="3"/>
      <c r="DIE129" s="3"/>
      <c r="DIF129" s="3"/>
      <c r="DIG129" s="3"/>
      <c r="DIH129" s="3"/>
      <c r="DII129" s="3"/>
      <c r="DIJ129" s="3"/>
      <c r="DIK129" s="3"/>
      <c r="DIL129" s="3"/>
      <c r="DIM129" s="3"/>
      <c r="DIN129" s="3"/>
      <c r="DIO129" s="3"/>
      <c r="DIP129" s="3"/>
      <c r="DIQ129" s="3"/>
      <c r="DIR129" s="3"/>
      <c r="DIS129" s="3"/>
      <c r="DIT129" s="3"/>
      <c r="DIU129" s="3"/>
      <c r="DIV129" s="3"/>
      <c r="DIW129" s="3"/>
      <c r="DIX129" s="3"/>
      <c r="DIY129" s="3"/>
      <c r="DIZ129" s="3"/>
      <c r="DJA129" s="3"/>
      <c r="DJB129" s="3"/>
      <c r="DJC129" s="3"/>
      <c r="DJD129" s="3"/>
      <c r="DJE129" s="3"/>
      <c r="DJF129" s="3"/>
      <c r="DJG129" s="3"/>
      <c r="DJH129" s="3"/>
      <c r="DJI129" s="3"/>
      <c r="DJJ129" s="3"/>
      <c r="DJK129" s="3"/>
      <c r="DJL129" s="3"/>
      <c r="DJM129" s="3"/>
      <c r="DJN129" s="3"/>
      <c r="DJO129" s="3"/>
      <c r="DJP129" s="3"/>
      <c r="DJQ129" s="3"/>
      <c r="DJR129" s="3"/>
      <c r="DJS129" s="3"/>
      <c r="DJT129" s="3"/>
      <c r="DJU129" s="3"/>
      <c r="DJV129" s="3"/>
      <c r="DJW129" s="3"/>
      <c r="DJX129" s="3"/>
      <c r="DJY129" s="3"/>
      <c r="DJZ129" s="3"/>
      <c r="DKA129" s="3"/>
      <c r="DKB129" s="3"/>
      <c r="DKC129" s="3"/>
      <c r="DKD129" s="3"/>
      <c r="DKE129" s="3"/>
      <c r="DKF129" s="3"/>
      <c r="DKG129" s="3"/>
      <c r="DKH129" s="3"/>
      <c r="DKI129" s="3"/>
      <c r="DKJ129" s="3"/>
      <c r="DKK129" s="3"/>
      <c r="DKL129" s="3"/>
      <c r="DKM129" s="3"/>
      <c r="DKN129" s="3"/>
      <c r="DKO129" s="3"/>
      <c r="DKP129" s="3"/>
      <c r="DKQ129" s="3"/>
      <c r="DKR129" s="3"/>
      <c r="DKS129" s="3"/>
      <c r="DKT129" s="3"/>
      <c r="DKU129" s="3"/>
      <c r="DKV129" s="3"/>
      <c r="DKW129" s="3"/>
      <c r="DKX129" s="3"/>
      <c r="DKY129" s="3"/>
      <c r="DKZ129" s="3"/>
      <c r="DLA129" s="3"/>
      <c r="DLB129" s="3"/>
      <c r="DLC129" s="3"/>
      <c r="DLD129" s="3"/>
      <c r="DLE129" s="3"/>
      <c r="DLF129" s="3"/>
      <c r="DLG129" s="3"/>
      <c r="DLH129" s="3"/>
      <c r="DLI129" s="3"/>
      <c r="DLJ129" s="3"/>
      <c r="DLK129" s="3"/>
      <c r="DLL129" s="3"/>
      <c r="DLM129" s="3"/>
      <c r="DLN129" s="3"/>
      <c r="DLO129" s="3"/>
      <c r="DLP129" s="3"/>
      <c r="DLQ129" s="3"/>
      <c r="DLR129" s="3"/>
      <c r="DLS129" s="3"/>
      <c r="DLT129" s="3"/>
      <c r="DLU129" s="3"/>
      <c r="DLV129" s="3"/>
      <c r="DLW129" s="3"/>
      <c r="DLX129" s="3"/>
      <c r="DLY129" s="3"/>
      <c r="DLZ129" s="3"/>
      <c r="DMA129" s="3"/>
      <c r="DMB129" s="3"/>
      <c r="DMC129" s="3"/>
      <c r="DMD129" s="3"/>
      <c r="DME129" s="3"/>
      <c r="DMF129" s="3"/>
      <c r="DMG129" s="3"/>
      <c r="DMH129" s="3"/>
      <c r="DMI129" s="3"/>
      <c r="DMJ129" s="3"/>
      <c r="DMK129" s="3"/>
      <c r="DML129" s="3"/>
      <c r="DMM129" s="3"/>
      <c r="DMN129" s="3"/>
      <c r="DMO129" s="3"/>
      <c r="DMP129" s="3"/>
      <c r="DMQ129" s="3"/>
      <c r="DMR129" s="3"/>
      <c r="DMS129" s="3"/>
      <c r="DMT129" s="3"/>
      <c r="DMU129" s="3"/>
      <c r="DMV129" s="3"/>
      <c r="DMW129" s="3"/>
      <c r="DMX129" s="3"/>
      <c r="DMY129" s="3"/>
      <c r="DMZ129" s="3"/>
      <c r="DNA129" s="3"/>
      <c r="DNB129" s="3"/>
      <c r="DNC129" s="3"/>
      <c r="DND129" s="3"/>
      <c r="DNE129" s="3"/>
      <c r="DNF129" s="3"/>
      <c r="DNG129" s="3"/>
      <c r="DNH129" s="3"/>
      <c r="DNI129" s="3"/>
      <c r="DNJ129" s="3"/>
      <c r="DNK129" s="3"/>
      <c r="DNL129" s="3"/>
      <c r="DNM129" s="3"/>
      <c r="DNN129" s="3"/>
      <c r="DNO129" s="3"/>
      <c r="DNP129" s="3"/>
      <c r="DNQ129" s="3"/>
      <c r="DNR129" s="3"/>
      <c r="DNS129" s="3"/>
      <c r="DNT129" s="3"/>
      <c r="DNU129" s="3"/>
      <c r="DNV129" s="3"/>
      <c r="DNW129" s="3"/>
      <c r="DNX129" s="3"/>
      <c r="DNY129" s="3"/>
      <c r="DNZ129" s="3"/>
      <c r="DOA129" s="3"/>
      <c r="DOB129" s="3"/>
      <c r="DOC129" s="3"/>
      <c r="DOD129" s="3"/>
      <c r="DOE129" s="3"/>
      <c r="DOF129" s="3"/>
      <c r="DOG129" s="3"/>
      <c r="DOH129" s="3"/>
      <c r="DOI129" s="3"/>
      <c r="DOJ129" s="3"/>
      <c r="DOK129" s="3"/>
      <c r="DOL129" s="3"/>
      <c r="DOM129" s="3"/>
      <c r="DON129" s="3"/>
      <c r="DOO129" s="3"/>
      <c r="DOP129" s="3"/>
      <c r="DOQ129" s="3"/>
      <c r="DOR129" s="3"/>
      <c r="DOS129" s="3"/>
      <c r="DOT129" s="3"/>
      <c r="DOU129" s="3"/>
      <c r="DOV129" s="3"/>
      <c r="DOW129" s="3"/>
      <c r="DOX129" s="3"/>
      <c r="DOY129" s="3"/>
      <c r="DOZ129" s="3"/>
      <c r="DPA129" s="3"/>
      <c r="DPB129" s="3"/>
      <c r="DPC129" s="3"/>
      <c r="DPD129" s="3"/>
      <c r="DPE129" s="3"/>
      <c r="DPF129" s="3"/>
      <c r="DPG129" s="3"/>
      <c r="DPH129" s="3"/>
      <c r="DPI129" s="3"/>
      <c r="DPJ129" s="3"/>
      <c r="DPK129" s="3"/>
      <c r="DPL129" s="3"/>
      <c r="DPM129" s="3"/>
      <c r="DPN129" s="3"/>
      <c r="DPO129" s="3"/>
      <c r="DPP129" s="3"/>
      <c r="DPQ129" s="3"/>
      <c r="DPR129" s="3"/>
      <c r="DPS129" s="3"/>
      <c r="DPT129" s="3"/>
      <c r="DPU129" s="3"/>
      <c r="DPV129" s="3"/>
      <c r="DPW129" s="3"/>
      <c r="DPX129" s="3"/>
      <c r="DPY129" s="3"/>
      <c r="DPZ129" s="3"/>
      <c r="DQA129" s="3"/>
      <c r="DQB129" s="3"/>
      <c r="DQC129" s="3"/>
      <c r="DQD129" s="3"/>
      <c r="DQE129" s="3"/>
      <c r="DQF129" s="3"/>
      <c r="DQG129" s="3"/>
      <c r="DQH129" s="3"/>
      <c r="DQI129" s="3"/>
      <c r="DQJ129" s="3"/>
      <c r="DQK129" s="3"/>
      <c r="DQL129" s="3"/>
      <c r="DQM129" s="3"/>
      <c r="DQN129" s="3"/>
      <c r="DQO129" s="3"/>
      <c r="DQP129" s="3"/>
      <c r="DQQ129" s="3"/>
      <c r="DQR129" s="3"/>
      <c r="DQS129" s="3"/>
      <c r="DQT129" s="3"/>
      <c r="DQU129" s="3"/>
      <c r="DQV129" s="3"/>
      <c r="DQW129" s="3"/>
      <c r="DQX129" s="3"/>
      <c r="DQY129" s="3"/>
      <c r="DQZ129" s="3"/>
      <c r="DRA129" s="3"/>
      <c r="DRB129" s="3"/>
      <c r="DRC129" s="3"/>
      <c r="DRD129" s="3"/>
      <c r="DRE129" s="3"/>
      <c r="DRF129" s="3"/>
      <c r="DRG129" s="3"/>
      <c r="DRH129" s="3"/>
      <c r="DRI129" s="3"/>
      <c r="DRJ129" s="3"/>
      <c r="DRK129" s="3"/>
      <c r="DRL129" s="3"/>
      <c r="DRM129" s="3"/>
      <c r="DRN129" s="3"/>
      <c r="DRO129" s="3"/>
      <c r="DRP129" s="3"/>
      <c r="DRQ129" s="3"/>
      <c r="DRR129" s="3"/>
      <c r="DRS129" s="3"/>
      <c r="DRT129" s="3"/>
      <c r="DRU129" s="3"/>
      <c r="DRV129" s="3"/>
      <c r="DRW129" s="3"/>
      <c r="DRX129" s="3"/>
      <c r="DRY129" s="3"/>
      <c r="DRZ129" s="3"/>
      <c r="DSA129" s="3"/>
      <c r="DSB129" s="3"/>
      <c r="DSC129" s="3"/>
      <c r="DSD129" s="3"/>
      <c r="DSE129" s="3"/>
      <c r="DSF129" s="3"/>
      <c r="DSG129" s="3"/>
      <c r="DSH129" s="3"/>
      <c r="DSI129" s="3"/>
      <c r="DSJ129" s="3"/>
      <c r="DSK129" s="3"/>
      <c r="DSL129" s="3"/>
      <c r="DSM129" s="3"/>
      <c r="DSN129" s="3"/>
      <c r="DSO129" s="3"/>
      <c r="DSP129" s="3"/>
      <c r="DSQ129" s="3"/>
      <c r="DSR129" s="3"/>
      <c r="DSS129" s="3"/>
      <c r="DST129" s="3"/>
      <c r="DSU129" s="3"/>
      <c r="DSV129" s="3"/>
      <c r="DSW129" s="3"/>
      <c r="DSX129" s="3"/>
      <c r="DSY129" s="3"/>
      <c r="DSZ129" s="3"/>
      <c r="DTA129" s="3"/>
      <c r="DTB129" s="3"/>
      <c r="DTC129" s="3"/>
      <c r="DTD129" s="3"/>
      <c r="DTE129" s="3"/>
      <c r="DTF129" s="3"/>
      <c r="DTG129" s="3"/>
      <c r="DTH129" s="3"/>
      <c r="DTI129" s="3"/>
      <c r="DTJ129" s="3"/>
      <c r="DTK129" s="3"/>
      <c r="DTL129" s="3"/>
      <c r="DTM129" s="3"/>
      <c r="DTN129" s="3"/>
      <c r="DTO129" s="3"/>
      <c r="DTP129" s="3"/>
      <c r="DTQ129" s="3"/>
      <c r="DTR129" s="3"/>
      <c r="DTS129" s="3"/>
      <c r="DTT129" s="3"/>
      <c r="DTU129" s="3"/>
      <c r="DTV129" s="3"/>
      <c r="DTW129" s="3"/>
      <c r="DTX129" s="3"/>
      <c r="DTY129" s="3"/>
      <c r="DTZ129" s="3"/>
      <c r="DUA129" s="3"/>
      <c r="DUB129" s="3"/>
      <c r="DUC129" s="3"/>
      <c r="DUD129" s="3"/>
      <c r="DUE129" s="3"/>
      <c r="DUF129" s="3"/>
      <c r="DUG129" s="3"/>
      <c r="DUH129" s="3"/>
      <c r="DUI129" s="3"/>
      <c r="DUJ129" s="3"/>
      <c r="DUK129" s="3"/>
      <c r="DUL129" s="3"/>
      <c r="DUM129" s="3"/>
      <c r="DUN129" s="3"/>
      <c r="DUO129" s="3"/>
      <c r="DUP129" s="3"/>
      <c r="DUQ129" s="3"/>
      <c r="DUR129" s="3"/>
      <c r="DUS129" s="3"/>
      <c r="DUT129" s="3"/>
      <c r="DUU129" s="3"/>
      <c r="DUV129" s="3"/>
      <c r="DUW129" s="3"/>
      <c r="DUX129" s="3"/>
      <c r="DUY129" s="3"/>
      <c r="DUZ129" s="3"/>
      <c r="DVA129" s="3"/>
      <c r="DVB129" s="3"/>
      <c r="DVC129" s="3"/>
      <c r="DVD129" s="3"/>
      <c r="DVE129" s="3"/>
      <c r="DVF129" s="3"/>
      <c r="DVG129" s="3"/>
      <c r="DVH129" s="3"/>
      <c r="DVI129" s="3"/>
      <c r="DVJ129" s="3"/>
      <c r="DVK129" s="3"/>
      <c r="DVL129" s="3"/>
      <c r="DVM129" s="3"/>
      <c r="DVN129" s="3"/>
      <c r="DVO129" s="3"/>
      <c r="DVP129" s="3"/>
      <c r="DVQ129" s="3"/>
      <c r="DVR129" s="3"/>
      <c r="DVS129" s="3"/>
      <c r="DVT129" s="3"/>
      <c r="DVU129" s="3"/>
      <c r="DVV129" s="3"/>
      <c r="DVW129" s="3"/>
      <c r="DVX129" s="3"/>
      <c r="DVY129" s="3"/>
      <c r="DVZ129" s="3"/>
      <c r="DWA129" s="3"/>
      <c r="DWB129" s="3"/>
      <c r="DWC129" s="3"/>
      <c r="DWD129" s="3"/>
      <c r="DWE129" s="3"/>
      <c r="DWF129" s="3"/>
      <c r="DWG129" s="3"/>
      <c r="DWH129" s="3"/>
      <c r="DWI129" s="3"/>
      <c r="DWJ129" s="3"/>
      <c r="DWK129" s="3"/>
      <c r="DWL129" s="3"/>
      <c r="DWM129" s="3"/>
      <c r="DWN129" s="3"/>
      <c r="DWO129" s="3"/>
      <c r="DWP129" s="3"/>
      <c r="DWQ129" s="3"/>
      <c r="DWR129" s="3"/>
      <c r="DWS129" s="3"/>
      <c r="DWT129" s="3"/>
      <c r="DWU129" s="3"/>
      <c r="DWV129" s="3"/>
      <c r="DWW129" s="3"/>
      <c r="DWX129" s="3"/>
      <c r="DWY129" s="3"/>
      <c r="DWZ129" s="3"/>
      <c r="DXA129" s="3"/>
      <c r="DXB129" s="3"/>
      <c r="DXC129" s="3"/>
      <c r="DXD129" s="3"/>
      <c r="DXE129" s="3"/>
      <c r="DXF129" s="3"/>
      <c r="DXG129" s="3"/>
      <c r="DXH129" s="3"/>
      <c r="DXI129" s="3"/>
      <c r="DXJ129" s="3"/>
      <c r="DXK129" s="3"/>
      <c r="DXL129" s="3"/>
      <c r="DXM129" s="3"/>
      <c r="DXN129" s="3"/>
      <c r="DXO129" s="3"/>
      <c r="DXP129" s="3"/>
      <c r="DXQ129" s="3"/>
      <c r="DXR129" s="3"/>
      <c r="DXS129" s="3"/>
      <c r="DXT129" s="3"/>
      <c r="DXU129" s="3"/>
      <c r="DXV129" s="3"/>
      <c r="DXW129" s="3"/>
      <c r="DXX129" s="3"/>
      <c r="DXY129" s="3"/>
      <c r="DXZ129" s="3"/>
      <c r="DYA129" s="3"/>
      <c r="DYB129" s="3"/>
      <c r="DYC129" s="3"/>
      <c r="DYD129" s="3"/>
      <c r="DYE129" s="3"/>
      <c r="DYF129" s="3"/>
      <c r="DYG129" s="3"/>
      <c r="DYH129" s="3"/>
      <c r="DYI129" s="3"/>
      <c r="DYJ129" s="3"/>
      <c r="DYK129" s="3"/>
      <c r="DYL129" s="3"/>
      <c r="DYM129" s="3"/>
      <c r="DYN129" s="3"/>
      <c r="DYO129" s="3"/>
      <c r="DYP129" s="3"/>
      <c r="DYQ129" s="3"/>
      <c r="DYR129" s="3"/>
      <c r="DYS129" s="3"/>
      <c r="DYT129" s="3"/>
      <c r="DYU129" s="3"/>
      <c r="DYV129" s="3"/>
      <c r="DYW129" s="3"/>
      <c r="DYX129" s="3"/>
      <c r="DYY129" s="3"/>
      <c r="DYZ129" s="3"/>
      <c r="DZA129" s="3"/>
      <c r="DZB129" s="3"/>
      <c r="DZC129" s="3"/>
      <c r="DZD129" s="3"/>
      <c r="DZE129" s="3"/>
      <c r="DZF129" s="3"/>
      <c r="DZG129" s="3"/>
      <c r="DZH129" s="3"/>
      <c r="DZI129" s="3"/>
      <c r="DZJ129" s="3"/>
      <c r="DZK129" s="3"/>
      <c r="DZL129" s="3"/>
      <c r="DZM129" s="3"/>
      <c r="DZN129" s="3"/>
      <c r="DZO129" s="3"/>
      <c r="DZP129" s="3"/>
      <c r="DZQ129" s="3"/>
      <c r="DZR129" s="3"/>
      <c r="DZS129" s="3"/>
      <c r="DZT129" s="3"/>
      <c r="DZU129" s="3"/>
      <c r="DZV129" s="3"/>
      <c r="DZW129" s="3"/>
      <c r="DZX129" s="3"/>
      <c r="DZY129" s="3"/>
      <c r="DZZ129" s="3"/>
      <c r="EAA129" s="3"/>
      <c r="EAB129" s="3"/>
      <c r="EAC129" s="3"/>
      <c r="EAD129" s="3"/>
      <c r="EAE129" s="3"/>
      <c r="EAF129" s="3"/>
      <c r="EAG129" s="3"/>
      <c r="EAH129" s="3"/>
      <c r="EAI129" s="3"/>
      <c r="EAJ129" s="3"/>
      <c r="EAK129" s="3"/>
      <c r="EAL129" s="3"/>
      <c r="EAM129" s="3"/>
      <c r="EAN129" s="3"/>
      <c r="EAO129" s="3"/>
      <c r="EAP129" s="3"/>
      <c r="EAQ129" s="3"/>
      <c r="EAR129" s="3"/>
      <c r="EAS129" s="3"/>
      <c r="EAT129" s="3"/>
      <c r="EAU129" s="3"/>
      <c r="EAV129" s="3"/>
      <c r="EAW129" s="3"/>
      <c r="EAX129" s="3"/>
      <c r="EAY129" s="3"/>
      <c r="EAZ129" s="3"/>
      <c r="EBA129" s="3"/>
      <c r="EBB129" s="3"/>
      <c r="EBC129" s="3"/>
      <c r="EBD129" s="3"/>
      <c r="EBE129" s="3"/>
      <c r="EBF129" s="3"/>
      <c r="EBG129" s="3"/>
      <c r="EBH129" s="3"/>
      <c r="EBI129" s="3"/>
      <c r="EBJ129" s="3"/>
      <c r="EBK129" s="3"/>
      <c r="EBL129" s="3"/>
      <c r="EBM129" s="3"/>
      <c r="EBN129" s="3"/>
      <c r="EBO129" s="3"/>
      <c r="EBP129" s="3"/>
      <c r="EBQ129" s="3"/>
      <c r="EBR129" s="3"/>
      <c r="EBS129" s="3"/>
      <c r="EBT129" s="3"/>
      <c r="EBU129" s="3"/>
      <c r="EBV129" s="3"/>
      <c r="EBW129" s="3"/>
      <c r="EBX129" s="3"/>
      <c r="EBY129" s="3"/>
      <c r="EBZ129" s="3"/>
      <c r="ECA129" s="3"/>
      <c r="ECB129" s="3"/>
      <c r="ECC129" s="3"/>
      <c r="ECD129" s="3"/>
      <c r="ECE129" s="3"/>
      <c r="ECF129" s="3"/>
      <c r="ECG129" s="3"/>
      <c r="ECH129" s="3"/>
      <c r="ECI129" s="3"/>
      <c r="ECJ129" s="3"/>
      <c r="ECK129" s="3"/>
      <c r="ECL129" s="3"/>
      <c r="ECM129" s="3"/>
      <c r="ECN129" s="3"/>
      <c r="ECO129" s="3"/>
      <c r="ECP129" s="3"/>
      <c r="ECQ129" s="3"/>
      <c r="ECR129" s="3"/>
      <c r="ECS129" s="3"/>
      <c r="ECT129" s="3"/>
      <c r="ECU129" s="3"/>
      <c r="ECV129" s="3"/>
      <c r="ECW129" s="3"/>
      <c r="ECX129" s="3"/>
      <c r="ECY129" s="3"/>
      <c r="ECZ129" s="3"/>
      <c r="EDA129" s="3"/>
      <c r="EDB129" s="3"/>
      <c r="EDC129" s="3"/>
      <c r="EDD129" s="3"/>
      <c r="EDE129" s="3"/>
      <c r="EDF129" s="3"/>
      <c r="EDG129" s="3"/>
      <c r="EDH129" s="3"/>
      <c r="EDI129" s="3"/>
      <c r="EDJ129" s="3"/>
      <c r="EDK129" s="3"/>
      <c r="EDL129" s="3"/>
      <c r="EDM129" s="3"/>
      <c r="EDN129" s="3"/>
      <c r="EDO129" s="3"/>
      <c r="EDP129" s="3"/>
      <c r="EDQ129" s="3"/>
      <c r="EDR129" s="3"/>
      <c r="EDS129" s="3"/>
      <c r="EDT129" s="3"/>
      <c r="EDU129" s="3"/>
      <c r="EDV129" s="3"/>
      <c r="EDW129" s="3"/>
      <c r="EDX129" s="3"/>
      <c r="EDY129" s="3"/>
      <c r="EDZ129" s="3"/>
      <c r="EEA129" s="3"/>
      <c r="EEB129" s="3"/>
      <c r="EEC129" s="3"/>
      <c r="EED129" s="3"/>
      <c r="EEE129" s="3"/>
      <c r="EEF129" s="3"/>
      <c r="EEG129" s="3"/>
      <c r="EEH129" s="3"/>
      <c r="EEI129" s="3"/>
      <c r="EEJ129" s="3"/>
      <c r="EEK129" s="3"/>
      <c r="EEL129" s="3"/>
      <c r="EEM129" s="3"/>
      <c r="EEN129" s="3"/>
      <c r="EEO129" s="3"/>
      <c r="EEP129" s="3"/>
      <c r="EEQ129" s="3"/>
      <c r="EER129" s="3"/>
      <c r="EES129" s="3"/>
      <c r="EET129" s="3"/>
      <c r="EEU129" s="3"/>
      <c r="EEV129" s="3"/>
      <c r="EEW129" s="3"/>
      <c r="EEX129" s="3"/>
      <c r="EEY129" s="3"/>
      <c r="EEZ129" s="3"/>
      <c r="EFA129" s="3"/>
      <c r="EFB129" s="3"/>
      <c r="EFC129" s="3"/>
      <c r="EFD129" s="3"/>
      <c r="EFE129" s="3"/>
      <c r="EFF129" s="3"/>
      <c r="EFG129" s="3"/>
      <c r="EFH129" s="3"/>
      <c r="EFI129" s="3"/>
      <c r="EFJ129" s="3"/>
      <c r="EFK129" s="3"/>
      <c r="EFL129" s="3"/>
      <c r="EFM129" s="3"/>
      <c r="EFN129" s="3"/>
      <c r="EFO129" s="3"/>
      <c r="EFP129" s="3"/>
      <c r="EFQ129" s="3"/>
      <c r="EFR129" s="3"/>
      <c r="EFS129" s="3"/>
      <c r="EFT129" s="3"/>
      <c r="EFU129" s="3"/>
      <c r="EFV129" s="3"/>
      <c r="EFW129" s="3"/>
      <c r="EFX129" s="3"/>
      <c r="EFY129" s="3"/>
      <c r="EFZ129" s="3"/>
      <c r="EGA129" s="3"/>
      <c r="EGB129" s="3"/>
      <c r="EGC129" s="3"/>
      <c r="EGD129" s="3"/>
      <c r="EGE129" s="3"/>
      <c r="EGF129" s="3"/>
      <c r="EGG129" s="3"/>
      <c r="EGH129" s="3"/>
      <c r="EGI129" s="3"/>
      <c r="EGJ129" s="3"/>
      <c r="EGK129" s="3"/>
      <c r="EGL129" s="3"/>
      <c r="EGM129" s="3"/>
      <c r="EGN129" s="3"/>
      <c r="EGO129" s="3"/>
      <c r="EGP129" s="3"/>
      <c r="EGQ129" s="3"/>
      <c r="EGR129" s="3"/>
      <c r="EGS129" s="3"/>
      <c r="EGT129" s="3"/>
      <c r="EGU129" s="3"/>
      <c r="EGV129" s="3"/>
      <c r="EGW129" s="3"/>
      <c r="EGX129" s="3"/>
      <c r="EGY129" s="3"/>
      <c r="EGZ129" s="3"/>
      <c r="EHA129" s="3"/>
      <c r="EHB129" s="3"/>
      <c r="EHC129" s="3"/>
      <c r="EHD129" s="3"/>
      <c r="EHE129" s="3"/>
      <c r="EHF129" s="3"/>
      <c r="EHG129" s="3"/>
      <c r="EHH129" s="3"/>
      <c r="EHI129" s="3"/>
      <c r="EHJ129" s="3"/>
      <c r="EHK129" s="3"/>
      <c r="EHL129" s="3"/>
      <c r="EHM129" s="3"/>
      <c r="EHN129" s="3"/>
      <c r="EHO129" s="3"/>
      <c r="EHP129" s="3"/>
      <c r="EHQ129" s="3"/>
      <c r="EHR129" s="3"/>
      <c r="EHS129" s="3"/>
      <c r="EHT129" s="3"/>
      <c r="EHU129" s="3"/>
      <c r="EHV129" s="3"/>
      <c r="EHW129" s="3"/>
      <c r="EHX129" s="3"/>
      <c r="EHY129" s="3"/>
      <c r="EHZ129" s="3"/>
      <c r="EIA129" s="3"/>
      <c r="EIB129" s="3"/>
      <c r="EIC129" s="3"/>
      <c r="EID129" s="3"/>
      <c r="EIE129" s="3"/>
      <c r="EIF129" s="3"/>
      <c r="EIG129" s="3"/>
      <c r="EIH129" s="3"/>
      <c r="EII129" s="3"/>
      <c r="EIJ129" s="3"/>
      <c r="EIK129" s="3"/>
      <c r="EIL129" s="3"/>
      <c r="EIM129" s="3"/>
      <c r="EIN129" s="3"/>
      <c r="EIO129" s="3"/>
      <c r="EIP129" s="3"/>
      <c r="EIQ129" s="3"/>
      <c r="EIR129" s="3"/>
      <c r="EIS129" s="3"/>
      <c r="EIT129" s="3"/>
      <c r="EIU129" s="3"/>
      <c r="EIV129" s="3"/>
      <c r="EIW129" s="3"/>
      <c r="EIX129" s="3"/>
      <c r="EIY129" s="3"/>
      <c r="EIZ129" s="3"/>
      <c r="EJA129" s="3"/>
      <c r="EJB129" s="3"/>
      <c r="EJC129" s="3"/>
      <c r="EJD129" s="3"/>
      <c r="EJE129" s="3"/>
      <c r="EJF129" s="3"/>
      <c r="EJG129" s="3"/>
      <c r="EJH129" s="3"/>
      <c r="EJI129" s="3"/>
      <c r="EJJ129" s="3"/>
      <c r="EJK129" s="3"/>
      <c r="EJL129" s="3"/>
      <c r="EJM129" s="3"/>
      <c r="EJN129" s="3"/>
      <c r="EJO129" s="3"/>
      <c r="EJP129" s="3"/>
      <c r="EJQ129" s="3"/>
      <c r="EJR129" s="3"/>
      <c r="EJS129" s="3"/>
      <c r="EJT129" s="3"/>
      <c r="EJU129" s="3"/>
      <c r="EJV129" s="3"/>
      <c r="EJW129" s="3"/>
      <c r="EJX129" s="3"/>
      <c r="EJY129" s="3"/>
      <c r="EJZ129" s="3"/>
      <c r="EKA129" s="3"/>
      <c r="EKB129" s="3"/>
      <c r="EKC129" s="3"/>
      <c r="EKD129" s="3"/>
      <c r="EKE129" s="3"/>
      <c r="EKF129" s="3"/>
      <c r="EKG129" s="3"/>
      <c r="EKH129" s="3"/>
      <c r="EKI129" s="3"/>
      <c r="EKJ129" s="3"/>
      <c r="EKK129" s="3"/>
      <c r="EKL129" s="3"/>
      <c r="EKM129" s="3"/>
      <c r="EKN129" s="3"/>
      <c r="EKO129" s="3"/>
      <c r="EKP129" s="3"/>
      <c r="EKQ129" s="3"/>
      <c r="EKR129" s="3"/>
      <c r="EKS129" s="3"/>
      <c r="EKT129" s="3"/>
      <c r="EKU129" s="3"/>
      <c r="EKV129" s="3"/>
      <c r="EKW129" s="3"/>
      <c r="EKX129" s="3"/>
      <c r="EKY129" s="3"/>
      <c r="EKZ129" s="3"/>
      <c r="ELA129" s="3"/>
      <c r="ELB129" s="3"/>
      <c r="ELC129" s="3"/>
      <c r="ELD129" s="3"/>
      <c r="ELE129" s="3"/>
      <c r="ELF129" s="3"/>
      <c r="ELG129" s="3"/>
      <c r="ELH129" s="3"/>
      <c r="ELI129" s="3"/>
      <c r="ELJ129" s="3"/>
      <c r="ELK129" s="3"/>
      <c r="ELL129" s="3"/>
      <c r="ELM129" s="3"/>
      <c r="ELN129" s="3"/>
      <c r="ELO129" s="3"/>
      <c r="ELP129" s="3"/>
      <c r="ELQ129" s="3"/>
      <c r="ELR129" s="3"/>
      <c r="ELS129" s="3"/>
      <c r="ELT129" s="3"/>
      <c r="ELU129" s="3"/>
      <c r="ELV129" s="3"/>
      <c r="ELW129" s="3"/>
      <c r="ELX129" s="3"/>
      <c r="ELY129" s="3"/>
      <c r="ELZ129" s="3"/>
      <c r="EMA129" s="3"/>
      <c r="EMB129" s="3"/>
      <c r="EMC129" s="3"/>
      <c r="EMD129" s="3"/>
      <c r="EME129" s="3"/>
      <c r="EMF129" s="3"/>
      <c r="EMG129" s="3"/>
      <c r="EMH129" s="3"/>
      <c r="EMI129" s="3"/>
      <c r="EMJ129" s="3"/>
      <c r="EMK129" s="3"/>
      <c r="EML129" s="3"/>
      <c r="EMM129" s="3"/>
      <c r="EMN129" s="3"/>
      <c r="EMO129" s="3"/>
      <c r="EMP129" s="3"/>
      <c r="EMQ129" s="3"/>
      <c r="EMR129" s="3"/>
      <c r="EMS129" s="3"/>
      <c r="EMT129" s="3"/>
      <c r="EMU129" s="3"/>
      <c r="EMV129" s="3"/>
      <c r="EMW129" s="3"/>
      <c r="EMX129" s="3"/>
      <c r="EMY129" s="3"/>
      <c r="EMZ129" s="3"/>
      <c r="ENA129" s="3"/>
      <c r="ENB129" s="3"/>
      <c r="ENC129" s="3"/>
      <c r="END129" s="3"/>
      <c r="ENE129" s="3"/>
      <c r="ENF129" s="3"/>
      <c r="ENG129" s="3"/>
      <c r="ENH129" s="3"/>
      <c r="ENI129" s="3"/>
      <c r="ENJ129" s="3"/>
      <c r="ENK129" s="3"/>
      <c r="ENL129" s="3"/>
      <c r="ENM129" s="3"/>
      <c r="ENN129" s="3"/>
      <c r="ENO129" s="3"/>
      <c r="ENP129" s="3"/>
      <c r="ENQ129" s="3"/>
      <c r="ENR129" s="3"/>
      <c r="ENS129" s="3"/>
      <c r="ENT129" s="3"/>
      <c r="ENU129" s="3"/>
      <c r="ENV129" s="3"/>
      <c r="ENW129" s="3"/>
      <c r="ENX129" s="3"/>
      <c r="ENY129" s="3"/>
      <c r="ENZ129" s="3"/>
      <c r="EOA129" s="3"/>
      <c r="EOB129" s="3"/>
      <c r="EOC129" s="3"/>
      <c r="EOD129" s="3"/>
      <c r="EOE129" s="3"/>
      <c r="EOF129" s="3"/>
      <c r="EOG129" s="3"/>
      <c r="EOH129" s="3"/>
      <c r="EOI129" s="3"/>
      <c r="EOJ129" s="3"/>
      <c r="EOK129" s="3"/>
      <c r="EOL129" s="3"/>
      <c r="EOM129" s="3"/>
      <c r="EON129" s="3"/>
      <c r="EOO129" s="3"/>
      <c r="EOP129" s="3"/>
      <c r="EOQ129" s="3"/>
      <c r="EOR129" s="3"/>
      <c r="EOS129" s="3"/>
      <c r="EOT129" s="3"/>
      <c r="EOU129" s="3"/>
      <c r="EOV129" s="3"/>
      <c r="EOW129" s="3"/>
      <c r="EOX129" s="3"/>
      <c r="EOY129" s="3"/>
      <c r="EOZ129" s="3"/>
      <c r="EPA129" s="3"/>
      <c r="EPB129" s="3"/>
      <c r="EPC129" s="3"/>
      <c r="EPD129" s="3"/>
      <c r="EPE129" s="3"/>
      <c r="EPF129" s="3"/>
      <c r="EPG129" s="3"/>
      <c r="EPH129" s="3"/>
      <c r="EPI129" s="3"/>
      <c r="EPJ129" s="3"/>
      <c r="EPK129" s="3"/>
      <c r="EPL129" s="3"/>
      <c r="EPM129" s="3"/>
      <c r="EPN129" s="3"/>
      <c r="EPO129" s="3"/>
      <c r="EPP129" s="3"/>
      <c r="EPQ129" s="3"/>
      <c r="EPR129" s="3"/>
      <c r="EPS129" s="3"/>
      <c r="EPT129" s="3"/>
      <c r="EPU129" s="3"/>
      <c r="EPV129" s="3"/>
      <c r="EPW129" s="3"/>
      <c r="EPX129" s="3"/>
      <c r="EPY129" s="3"/>
      <c r="EPZ129" s="3"/>
      <c r="EQA129" s="3"/>
      <c r="EQB129" s="3"/>
      <c r="EQC129" s="3"/>
      <c r="EQD129" s="3"/>
      <c r="EQE129" s="3"/>
      <c r="EQF129" s="3"/>
      <c r="EQG129" s="3"/>
      <c r="EQH129" s="3"/>
      <c r="EQI129" s="3"/>
      <c r="EQJ129" s="3"/>
      <c r="EQK129" s="3"/>
      <c r="EQL129" s="3"/>
      <c r="EQM129" s="3"/>
      <c r="EQN129" s="3"/>
      <c r="EQO129" s="3"/>
      <c r="EQP129" s="3"/>
      <c r="EQQ129" s="3"/>
      <c r="EQR129" s="3"/>
      <c r="EQS129" s="3"/>
      <c r="EQT129" s="3"/>
      <c r="EQU129" s="3"/>
      <c r="EQV129" s="3"/>
      <c r="EQW129" s="3"/>
      <c r="EQX129" s="3"/>
      <c r="EQY129" s="3"/>
      <c r="EQZ129" s="3"/>
      <c r="ERA129" s="3"/>
      <c r="ERB129" s="3"/>
      <c r="ERC129" s="3"/>
      <c r="ERD129" s="3"/>
      <c r="ERE129" s="3"/>
      <c r="ERF129" s="3"/>
      <c r="ERG129" s="3"/>
      <c r="ERH129" s="3"/>
      <c r="ERI129" s="3"/>
      <c r="ERJ129" s="3"/>
      <c r="ERK129" s="3"/>
      <c r="ERL129" s="3"/>
      <c r="ERM129" s="3"/>
      <c r="ERN129" s="3"/>
      <c r="ERO129" s="3"/>
      <c r="ERP129" s="3"/>
      <c r="ERQ129" s="3"/>
      <c r="ERR129" s="3"/>
      <c r="ERS129" s="3"/>
      <c r="ERT129" s="3"/>
      <c r="ERU129" s="3"/>
      <c r="ERV129" s="3"/>
      <c r="ERW129" s="3"/>
      <c r="ERX129" s="3"/>
      <c r="ERY129" s="3"/>
      <c r="ERZ129" s="3"/>
      <c r="ESA129" s="3"/>
      <c r="ESB129" s="3"/>
      <c r="ESC129" s="3"/>
      <c r="ESD129" s="3"/>
      <c r="ESE129" s="3"/>
      <c r="ESF129" s="3"/>
      <c r="ESG129" s="3"/>
      <c r="ESH129" s="3"/>
      <c r="ESI129" s="3"/>
      <c r="ESJ129" s="3"/>
      <c r="ESK129" s="3"/>
      <c r="ESL129" s="3"/>
      <c r="ESM129" s="3"/>
      <c r="ESN129" s="3"/>
      <c r="ESO129" s="3"/>
      <c r="ESP129" s="3"/>
      <c r="ESQ129" s="3"/>
      <c r="ESR129" s="3"/>
      <c r="ESS129" s="3"/>
      <c r="EST129" s="3"/>
      <c r="ESU129" s="3"/>
      <c r="ESV129" s="3"/>
      <c r="ESW129" s="3"/>
      <c r="ESX129" s="3"/>
      <c r="ESY129" s="3"/>
      <c r="ESZ129" s="3"/>
      <c r="ETA129" s="3"/>
      <c r="ETB129" s="3"/>
      <c r="ETC129" s="3"/>
      <c r="ETD129" s="3"/>
      <c r="ETE129" s="3"/>
      <c r="ETF129" s="3"/>
      <c r="ETG129" s="3"/>
      <c r="ETH129" s="3"/>
      <c r="ETI129" s="3"/>
      <c r="ETJ129" s="3"/>
      <c r="ETK129" s="3"/>
      <c r="ETL129" s="3"/>
      <c r="ETM129" s="3"/>
      <c r="ETN129" s="3"/>
      <c r="ETO129" s="3"/>
      <c r="ETP129" s="3"/>
      <c r="ETQ129" s="3"/>
      <c r="ETR129" s="3"/>
      <c r="ETS129" s="3"/>
      <c r="ETT129" s="3"/>
      <c r="ETU129" s="3"/>
      <c r="ETV129" s="3"/>
      <c r="ETW129" s="3"/>
      <c r="ETX129" s="3"/>
      <c r="ETY129" s="3"/>
      <c r="ETZ129" s="3"/>
      <c r="EUA129" s="3"/>
      <c r="EUB129" s="3"/>
      <c r="EUC129" s="3"/>
      <c r="EUD129" s="3"/>
      <c r="EUE129" s="3"/>
      <c r="EUF129" s="3"/>
      <c r="EUG129" s="3"/>
      <c r="EUH129" s="3"/>
      <c r="EUI129" s="3"/>
      <c r="EUJ129" s="3"/>
      <c r="EUK129" s="3"/>
      <c r="EUL129" s="3"/>
      <c r="EUM129" s="3"/>
      <c r="EUN129" s="3"/>
      <c r="EUO129" s="3"/>
      <c r="EUP129" s="3"/>
      <c r="EUQ129" s="3"/>
      <c r="EUR129" s="3"/>
      <c r="EUS129" s="3"/>
      <c r="EUT129" s="3"/>
      <c r="EUU129" s="3"/>
      <c r="EUV129" s="3"/>
      <c r="EUW129" s="3"/>
      <c r="EUX129" s="3"/>
      <c r="EUY129" s="3"/>
      <c r="EUZ129" s="3"/>
      <c r="EVA129" s="3"/>
      <c r="EVB129" s="3"/>
      <c r="EVC129" s="3"/>
      <c r="EVD129" s="3"/>
      <c r="EVE129" s="3"/>
      <c r="EVF129" s="3"/>
      <c r="EVG129" s="3"/>
      <c r="EVH129" s="3"/>
      <c r="EVI129" s="3"/>
      <c r="EVJ129" s="3"/>
      <c r="EVK129" s="3"/>
      <c r="EVL129" s="3"/>
      <c r="EVM129" s="3"/>
      <c r="EVN129" s="3"/>
      <c r="EVO129" s="3"/>
      <c r="EVP129" s="3"/>
      <c r="EVQ129" s="3"/>
      <c r="EVR129" s="3"/>
      <c r="EVS129" s="3"/>
      <c r="EVT129" s="3"/>
      <c r="EVU129" s="3"/>
      <c r="EVV129" s="3"/>
      <c r="EVW129" s="3"/>
      <c r="EVX129" s="3"/>
      <c r="EVY129" s="3"/>
      <c r="EVZ129" s="3"/>
      <c r="EWA129" s="3"/>
      <c r="EWB129" s="3"/>
      <c r="EWC129" s="3"/>
      <c r="EWD129" s="3"/>
      <c r="EWE129" s="3"/>
      <c r="EWF129" s="3"/>
      <c r="EWG129" s="3"/>
      <c r="EWH129" s="3"/>
      <c r="EWI129" s="3"/>
      <c r="EWJ129" s="3"/>
      <c r="EWK129" s="3"/>
      <c r="EWL129" s="3"/>
      <c r="EWM129" s="3"/>
      <c r="EWN129" s="3"/>
      <c r="EWO129" s="3"/>
      <c r="EWP129" s="3"/>
      <c r="EWQ129" s="3"/>
      <c r="EWR129" s="3"/>
      <c r="EWS129" s="3"/>
      <c r="EWT129" s="3"/>
      <c r="EWU129" s="3"/>
      <c r="EWV129" s="3"/>
      <c r="EWW129" s="3"/>
      <c r="EWX129" s="3"/>
      <c r="EWY129" s="3"/>
      <c r="EWZ129" s="3"/>
      <c r="EXA129" s="3"/>
      <c r="EXB129" s="3"/>
      <c r="EXC129" s="3"/>
      <c r="EXD129" s="3"/>
      <c r="EXE129" s="3"/>
      <c r="EXF129" s="3"/>
      <c r="EXG129" s="3"/>
      <c r="EXH129" s="3"/>
      <c r="EXI129" s="3"/>
      <c r="EXJ129" s="3"/>
      <c r="EXK129" s="3"/>
      <c r="EXL129" s="3"/>
      <c r="EXM129" s="3"/>
      <c r="EXN129" s="3"/>
      <c r="EXO129" s="3"/>
      <c r="EXP129" s="3"/>
      <c r="EXQ129" s="3"/>
      <c r="EXR129" s="3"/>
      <c r="EXS129" s="3"/>
      <c r="EXT129" s="3"/>
      <c r="EXU129" s="3"/>
      <c r="EXV129" s="3"/>
      <c r="EXW129" s="3"/>
      <c r="EXX129" s="3"/>
      <c r="EXY129" s="3"/>
      <c r="EXZ129" s="3"/>
      <c r="EYA129" s="3"/>
      <c r="EYB129" s="3"/>
      <c r="EYC129" s="3"/>
      <c r="EYD129" s="3"/>
      <c r="EYE129" s="3"/>
      <c r="EYF129" s="3"/>
      <c r="EYG129" s="3"/>
      <c r="EYH129" s="3"/>
      <c r="EYI129" s="3"/>
      <c r="EYJ129" s="3"/>
      <c r="EYK129" s="3"/>
      <c r="EYL129" s="3"/>
      <c r="EYM129" s="3"/>
      <c r="EYN129" s="3"/>
      <c r="EYO129" s="3"/>
      <c r="EYP129" s="3"/>
      <c r="EYQ129" s="3"/>
      <c r="EYR129" s="3"/>
      <c r="EYS129" s="3"/>
      <c r="EYT129" s="3"/>
      <c r="EYU129" s="3"/>
      <c r="EYV129" s="3"/>
      <c r="EYW129" s="3"/>
      <c r="EYX129" s="3"/>
      <c r="EYY129" s="3"/>
      <c r="EYZ129" s="3"/>
      <c r="EZA129" s="3"/>
      <c r="EZB129" s="3"/>
      <c r="EZC129" s="3"/>
      <c r="EZD129" s="3"/>
      <c r="EZE129" s="3"/>
      <c r="EZF129" s="3"/>
      <c r="EZG129" s="3"/>
      <c r="EZH129" s="3"/>
      <c r="EZI129" s="3"/>
      <c r="EZJ129" s="3"/>
      <c r="EZK129" s="3"/>
      <c r="EZL129" s="3"/>
      <c r="EZM129" s="3"/>
      <c r="EZN129" s="3"/>
      <c r="EZO129" s="3"/>
      <c r="EZP129" s="3"/>
      <c r="EZQ129" s="3"/>
      <c r="EZR129" s="3"/>
      <c r="EZS129" s="3"/>
      <c r="EZT129" s="3"/>
      <c r="EZU129" s="3"/>
      <c r="EZV129" s="3"/>
      <c r="EZW129" s="3"/>
      <c r="EZX129" s="3"/>
      <c r="EZY129" s="3"/>
      <c r="EZZ129" s="3"/>
      <c r="FAA129" s="3"/>
      <c r="FAB129" s="3"/>
      <c r="FAC129" s="3"/>
      <c r="FAD129" s="3"/>
      <c r="FAE129" s="3"/>
      <c r="FAF129" s="3"/>
      <c r="FAG129" s="3"/>
      <c r="FAH129" s="3"/>
      <c r="FAI129" s="3"/>
      <c r="FAJ129" s="3"/>
      <c r="FAK129" s="3"/>
      <c r="FAL129" s="3"/>
      <c r="FAM129" s="3"/>
      <c r="FAN129" s="3"/>
      <c r="FAO129" s="3"/>
      <c r="FAP129" s="3"/>
      <c r="FAQ129" s="3"/>
      <c r="FAR129" s="3"/>
      <c r="FAS129" s="3"/>
      <c r="FAT129" s="3"/>
      <c r="FAU129" s="3"/>
      <c r="FAV129" s="3"/>
      <c r="FAW129" s="3"/>
      <c r="FAX129" s="3"/>
      <c r="FAY129" s="3"/>
      <c r="FAZ129" s="3"/>
      <c r="FBA129" s="3"/>
      <c r="FBB129" s="3"/>
      <c r="FBC129" s="3"/>
      <c r="FBD129" s="3"/>
      <c r="FBE129" s="3"/>
      <c r="FBF129" s="3"/>
      <c r="FBG129" s="3"/>
      <c r="FBH129" s="3"/>
      <c r="FBI129" s="3"/>
      <c r="FBJ129" s="3"/>
      <c r="FBK129" s="3"/>
      <c r="FBL129" s="3"/>
      <c r="FBM129" s="3"/>
      <c r="FBN129" s="3"/>
      <c r="FBO129" s="3"/>
      <c r="FBP129" s="3"/>
      <c r="FBQ129" s="3"/>
      <c r="FBR129" s="3"/>
      <c r="FBS129" s="3"/>
      <c r="FBT129" s="3"/>
      <c r="FBU129" s="3"/>
      <c r="FBV129" s="3"/>
      <c r="FBW129" s="3"/>
      <c r="FBX129" s="3"/>
      <c r="FBY129" s="3"/>
      <c r="FBZ129" s="3"/>
      <c r="FCA129" s="3"/>
      <c r="FCB129" s="3"/>
      <c r="FCC129" s="3"/>
      <c r="FCD129" s="3"/>
      <c r="FCE129" s="3"/>
      <c r="FCF129" s="3"/>
      <c r="FCG129" s="3"/>
      <c r="FCH129" s="3"/>
      <c r="FCI129" s="3"/>
      <c r="FCJ129" s="3"/>
      <c r="FCK129" s="3"/>
      <c r="FCL129" s="3"/>
      <c r="FCM129" s="3"/>
      <c r="FCN129" s="3"/>
      <c r="FCO129" s="3"/>
      <c r="FCP129" s="3"/>
      <c r="FCQ129" s="3"/>
      <c r="FCR129" s="3"/>
      <c r="FCS129" s="3"/>
      <c r="FCT129" s="3"/>
      <c r="FCU129" s="3"/>
      <c r="FCV129" s="3"/>
      <c r="FCW129" s="3"/>
      <c r="FCX129" s="3"/>
      <c r="FCY129" s="3"/>
      <c r="FCZ129" s="3"/>
      <c r="FDA129" s="3"/>
      <c r="FDB129" s="3"/>
      <c r="FDC129" s="3"/>
      <c r="FDD129" s="3"/>
      <c r="FDE129" s="3"/>
      <c r="FDF129" s="3"/>
      <c r="FDG129" s="3"/>
      <c r="FDH129" s="3"/>
      <c r="FDI129" s="3"/>
      <c r="FDJ129" s="3"/>
      <c r="FDK129" s="3"/>
      <c r="FDL129" s="3"/>
      <c r="FDM129" s="3"/>
      <c r="FDN129" s="3"/>
      <c r="FDO129" s="3"/>
      <c r="FDP129" s="3"/>
      <c r="FDQ129" s="3"/>
      <c r="FDR129" s="3"/>
      <c r="FDS129" s="3"/>
      <c r="FDT129" s="3"/>
      <c r="FDU129" s="3"/>
      <c r="FDV129" s="3"/>
      <c r="FDW129" s="3"/>
      <c r="FDX129" s="3"/>
      <c r="FDY129" s="3"/>
      <c r="FDZ129" s="3"/>
      <c r="FEA129" s="3"/>
      <c r="FEB129" s="3"/>
      <c r="FEC129" s="3"/>
      <c r="FED129" s="3"/>
      <c r="FEE129" s="3"/>
      <c r="FEF129" s="3"/>
      <c r="FEG129" s="3"/>
      <c r="FEH129" s="3"/>
      <c r="FEI129" s="3"/>
      <c r="FEJ129" s="3"/>
      <c r="FEK129" s="3"/>
      <c r="FEL129" s="3"/>
      <c r="FEM129" s="3"/>
      <c r="FEN129" s="3"/>
      <c r="FEO129" s="3"/>
      <c r="FEP129" s="3"/>
      <c r="FEQ129" s="3"/>
      <c r="FER129" s="3"/>
      <c r="FES129" s="3"/>
      <c r="FET129" s="3"/>
      <c r="FEU129" s="3"/>
      <c r="FEV129" s="3"/>
      <c r="FEW129" s="3"/>
      <c r="FEX129" s="3"/>
      <c r="FEY129" s="3"/>
      <c r="FEZ129" s="3"/>
      <c r="FFA129" s="3"/>
      <c r="FFB129" s="3"/>
      <c r="FFC129" s="3"/>
      <c r="FFD129" s="3"/>
      <c r="FFE129" s="3"/>
      <c r="FFF129" s="3"/>
      <c r="FFG129" s="3"/>
      <c r="FFH129" s="3"/>
      <c r="FFI129" s="3"/>
      <c r="FFJ129" s="3"/>
      <c r="FFK129" s="3"/>
      <c r="FFL129" s="3"/>
      <c r="FFM129" s="3"/>
      <c r="FFN129" s="3"/>
      <c r="FFO129" s="3"/>
      <c r="FFP129" s="3"/>
      <c r="FFQ129" s="3"/>
      <c r="FFR129" s="3"/>
      <c r="FFS129" s="3"/>
      <c r="FFT129" s="3"/>
      <c r="FFU129" s="3"/>
      <c r="FFV129" s="3"/>
      <c r="FFW129" s="3"/>
      <c r="FFX129" s="3"/>
      <c r="FFY129" s="3"/>
      <c r="FFZ129" s="3"/>
      <c r="FGA129" s="3"/>
      <c r="FGB129" s="3"/>
      <c r="FGC129" s="3"/>
      <c r="FGD129" s="3"/>
      <c r="FGE129" s="3"/>
      <c r="FGF129" s="3"/>
      <c r="FGG129" s="3"/>
      <c r="FGH129" s="3"/>
      <c r="FGI129" s="3"/>
      <c r="FGJ129" s="3"/>
      <c r="FGK129" s="3"/>
      <c r="FGL129" s="3"/>
      <c r="FGM129" s="3"/>
      <c r="FGN129" s="3"/>
      <c r="FGO129" s="3"/>
      <c r="FGP129" s="3"/>
      <c r="FGQ129" s="3"/>
      <c r="FGR129" s="3"/>
      <c r="FGS129" s="3"/>
      <c r="FGT129" s="3"/>
      <c r="FGU129" s="3"/>
      <c r="FGV129" s="3"/>
      <c r="FGW129" s="3"/>
      <c r="FGX129" s="3"/>
      <c r="FGY129" s="3"/>
      <c r="FGZ129" s="3"/>
      <c r="FHA129" s="3"/>
      <c r="FHB129" s="3"/>
      <c r="FHC129" s="3"/>
      <c r="FHD129" s="3"/>
      <c r="FHE129" s="3"/>
      <c r="FHF129" s="3"/>
      <c r="FHG129" s="3"/>
      <c r="FHH129" s="3"/>
      <c r="FHI129" s="3"/>
      <c r="FHJ129" s="3"/>
      <c r="FHK129" s="3"/>
      <c r="FHL129" s="3"/>
      <c r="FHM129" s="3"/>
      <c r="FHN129" s="3"/>
      <c r="FHO129" s="3"/>
      <c r="FHP129" s="3"/>
      <c r="FHQ129" s="3"/>
      <c r="FHR129" s="3"/>
      <c r="FHS129" s="3"/>
      <c r="FHT129" s="3"/>
      <c r="FHU129" s="3"/>
      <c r="FHV129" s="3"/>
      <c r="FHW129" s="3"/>
      <c r="FHX129" s="3"/>
      <c r="FHY129" s="3"/>
      <c r="FHZ129" s="3"/>
      <c r="FIA129" s="3"/>
      <c r="FIB129" s="3"/>
      <c r="FIC129" s="3"/>
      <c r="FID129" s="3"/>
      <c r="FIE129" s="3"/>
      <c r="FIF129" s="3"/>
      <c r="FIG129" s="3"/>
      <c r="FIH129" s="3"/>
      <c r="FII129" s="3"/>
      <c r="FIJ129" s="3"/>
      <c r="FIK129" s="3"/>
      <c r="FIL129" s="3"/>
      <c r="FIM129" s="3"/>
      <c r="FIN129" s="3"/>
      <c r="FIO129" s="3"/>
      <c r="FIP129" s="3"/>
      <c r="FIQ129" s="3"/>
      <c r="FIR129" s="3"/>
      <c r="FIS129" s="3"/>
      <c r="FIT129" s="3"/>
      <c r="FIU129" s="3"/>
      <c r="FIV129" s="3"/>
      <c r="FIW129" s="3"/>
      <c r="FIX129" s="3"/>
      <c r="FIY129" s="3"/>
      <c r="FIZ129" s="3"/>
      <c r="FJA129" s="3"/>
      <c r="FJB129" s="3"/>
      <c r="FJC129" s="3"/>
      <c r="FJD129" s="3"/>
      <c r="FJE129" s="3"/>
      <c r="FJF129" s="3"/>
      <c r="FJG129" s="3"/>
      <c r="FJH129" s="3"/>
      <c r="FJI129" s="3"/>
      <c r="FJJ129" s="3"/>
      <c r="FJK129" s="3"/>
      <c r="FJL129" s="3"/>
      <c r="FJM129" s="3"/>
      <c r="FJN129" s="3"/>
      <c r="FJO129" s="3"/>
      <c r="FJP129" s="3"/>
      <c r="FJQ129" s="3"/>
      <c r="FJR129" s="3"/>
      <c r="FJS129" s="3"/>
      <c r="FJT129" s="3"/>
      <c r="FJU129" s="3"/>
      <c r="FJV129" s="3"/>
      <c r="FJW129" s="3"/>
      <c r="FJX129" s="3"/>
      <c r="FJY129" s="3"/>
      <c r="FJZ129" s="3"/>
      <c r="FKA129" s="3"/>
      <c r="FKB129" s="3"/>
      <c r="FKC129" s="3"/>
      <c r="FKD129" s="3"/>
      <c r="FKE129" s="3"/>
      <c r="FKF129" s="3"/>
      <c r="FKG129" s="3"/>
      <c r="FKH129" s="3"/>
      <c r="FKI129" s="3"/>
      <c r="FKJ129" s="3"/>
      <c r="FKK129" s="3"/>
      <c r="FKL129" s="3"/>
      <c r="FKM129" s="3"/>
      <c r="FKN129" s="3"/>
      <c r="FKO129" s="3"/>
      <c r="FKP129" s="3"/>
      <c r="FKQ129" s="3"/>
      <c r="FKR129" s="3"/>
      <c r="FKS129" s="3"/>
      <c r="FKT129" s="3"/>
      <c r="FKU129" s="3"/>
      <c r="FKV129" s="3"/>
      <c r="FKW129" s="3"/>
      <c r="FKX129" s="3"/>
      <c r="FKY129" s="3"/>
      <c r="FKZ129" s="3"/>
      <c r="FLA129" s="3"/>
      <c r="FLB129" s="3"/>
      <c r="FLC129" s="3"/>
      <c r="FLD129" s="3"/>
      <c r="FLE129" s="3"/>
      <c r="FLF129" s="3"/>
      <c r="FLG129" s="3"/>
      <c r="FLH129" s="3"/>
      <c r="FLI129" s="3"/>
      <c r="FLJ129" s="3"/>
      <c r="FLK129" s="3"/>
      <c r="FLL129" s="3"/>
      <c r="FLM129" s="3"/>
      <c r="FLN129" s="3"/>
      <c r="FLO129" s="3"/>
      <c r="FLP129" s="3"/>
      <c r="FLQ129" s="3"/>
      <c r="FLR129" s="3"/>
      <c r="FLS129" s="3"/>
      <c r="FLT129" s="3"/>
      <c r="FLU129" s="3"/>
      <c r="FLV129" s="3"/>
      <c r="FLW129" s="3"/>
      <c r="FLX129" s="3"/>
      <c r="FLY129" s="3"/>
      <c r="FLZ129" s="3"/>
      <c r="FMA129" s="3"/>
      <c r="FMB129" s="3"/>
      <c r="FMC129" s="3"/>
      <c r="FMD129" s="3"/>
      <c r="FME129" s="3"/>
      <c r="FMF129" s="3"/>
      <c r="FMG129" s="3"/>
      <c r="FMH129" s="3"/>
      <c r="FMI129" s="3"/>
      <c r="FMJ129" s="3"/>
      <c r="FMK129" s="3"/>
      <c r="FML129" s="3"/>
      <c r="FMM129" s="3"/>
      <c r="FMN129" s="3"/>
      <c r="FMO129" s="3"/>
      <c r="FMP129" s="3"/>
      <c r="FMQ129" s="3"/>
      <c r="FMR129" s="3"/>
      <c r="FMS129" s="3"/>
      <c r="FMT129" s="3"/>
      <c r="FMU129" s="3"/>
      <c r="FMV129" s="3"/>
      <c r="FMW129" s="3"/>
      <c r="FMX129" s="3"/>
      <c r="FMY129" s="3"/>
      <c r="FMZ129" s="3"/>
      <c r="FNA129" s="3"/>
      <c r="FNB129" s="3"/>
      <c r="FNC129" s="3"/>
      <c r="FND129" s="3"/>
      <c r="FNE129" s="3"/>
      <c r="FNF129" s="3"/>
      <c r="FNG129" s="3"/>
      <c r="FNH129" s="3"/>
      <c r="FNI129" s="3"/>
      <c r="FNJ129" s="3"/>
      <c r="FNK129" s="3"/>
      <c r="FNL129" s="3"/>
      <c r="FNM129" s="3"/>
      <c r="FNN129" s="3"/>
      <c r="FNO129" s="3"/>
      <c r="FNP129" s="3"/>
      <c r="FNQ129" s="3"/>
      <c r="FNR129" s="3"/>
      <c r="FNS129" s="3"/>
      <c r="FNT129" s="3"/>
      <c r="FNU129" s="3"/>
      <c r="FNV129" s="3"/>
      <c r="FNW129" s="3"/>
      <c r="FNX129" s="3"/>
      <c r="FNY129" s="3"/>
      <c r="FNZ129" s="3"/>
      <c r="FOA129" s="3"/>
      <c r="FOB129" s="3"/>
      <c r="FOC129" s="3"/>
      <c r="FOD129" s="3"/>
      <c r="FOE129" s="3"/>
      <c r="FOF129" s="3"/>
      <c r="FOG129" s="3"/>
      <c r="FOH129" s="3"/>
      <c r="FOI129" s="3"/>
      <c r="FOJ129" s="3"/>
      <c r="FOK129" s="3"/>
      <c r="FOL129" s="3"/>
      <c r="FOM129" s="3"/>
      <c r="FON129" s="3"/>
      <c r="FOO129" s="3"/>
      <c r="FOP129" s="3"/>
      <c r="FOQ129" s="3"/>
      <c r="FOR129" s="3"/>
      <c r="FOS129" s="3"/>
      <c r="FOT129" s="3"/>
      <c r="FOU129" s="3"/>
      <c r="FOV129" s="3"/>
      <c r="FOW129" s="3"/>
      <c r="FOX129" s="3"/>
      <c r="FOY129" s="3"/>
      <c r="FOZ129" s="3"/>
      <c r="FPA129" s="3"/>
      <c r="FPB129" s="3"/>
      <c r="FPC129" s="3"/>
      <c r="FPD129" s="3"/>
      <c r="FPE129" s="3"/>
      <c r="FPF129" s="3"/>
      <c r="FPG129" s="3"/>
      <c r="FPH129" s="3"/>
      <c r="FPI129" s="3"/>
      <c r="FPJ129" s="3"/>
      <c r="FPK129" s="3"/>
      <c r="FPL129" s="3"/>
      <c r="FPM129" s="3"/>
      <c r="FPN129" s="3"/>
      <c r="FPO129" s="3"/>
      <c r="FPP129" s="3"/>
      <c r="FPQ129" s="3"/>
      <c r="FPR129" s="3"/>
      <c r="FPS129" s="3"/>
      <c r="FPT129" s="3"/>
      <c r="FPU129" s="3"/>
      <c r="FPV129" s="3"/>
      <c r="FPW129" s="3"/>
      <c r="FPX129" s="3"/>
      <c r="FPY129" s="3"/>
      <c r="FPZ129" s="3"/>
      <c r="FQA129" s="3"/>
      <c r="FQB129" s="3"/>
      <c r="FQC129" s="3"/>
      <c r="FQD129" s="3"/>
      <c r="FQE129" s="3"/>
      <c r="FQF129" s="3"/>
      <c r="FQG129" s="3"/>
      <c r="FQH129" s="3"/>
      <c r="FQI129" s="3"/>
      <c r="FQJ129" s="3"/>
      <c r="FQK129" s="3"/>
      <c r="FQL129" s="3"/>
      <c r="FQM129" s="3"/>
      <c r="FQN129" s="3"/>
      <c r="FQO129" s="3"/>
      <c r="FQP129" s="3"/>
      <c r="FQQ129" s="3"/>
      <c r="FQR129" s="3"/>
      <c r="FQS129" s="3"/>
      <c r="FQT129" s="3"/>
      <c r="FQU129" s="3"/>
      <c r="FQV129" s="3"/>
      <c r="FQW129" s="3"/>
      <c r="FQX129" s="3"/>
      <c r="FQY129" s="3"/>
      <c r="FQZ129" s="3"/>
      <c r="FRA129" s="3"/>
      <c r="FRB129" s="3"/>
      <c r="FRC129" s="3"/>
      <c r="FRD129" s="3"/>
      <c r="FRE129" s="3"/>
      <c r="FRF129" s="3"/>
      <c r="FRG129" s="3"/>
      <c r="FRH129" s="3"/>
      <c r="FRI129" s="3"/>
      <c r="FRJ129" s="3"/>
      <c r="FRK129" s="3"/>
      <c r="FRL129" s="3"/>
      <c r="FRM129" s="3"/>
      <c r="FRN129" s="3"/>
      <c r="FRO129" s="3"/>
      <c r="FRP129" s="3"/>
      <c r="FRQ129" s="3"/>
      <c r="FRR129" s="3"/>
      <c r="FRS129" s="3"/>
      <c r="FRT129" s="3"/>
      <c r="FRU129" s="3"/>
      <c r="FRV129" s="3"/>
      <c r="FRW129" s="3"/>
      <c r="FRX129" s="3"/>
      <c r="FRY129" s="3"/>
      <c r="FRZ129" s="3"/>
      <c r="FSA129" s="3"/>
      <c r="FSB129" s="3"/>
      <c r="FSC129" s="3"/>
      <c r="FSD129" s="3"/>
      <c r="FSE129" s="3"/>
      <c r="FSF129" s="3"/>
      <c r="FSG129" s="3"/>
      <c r="FSH129" s="3"/>
      <c r="FSI129" s="3"/>
      <c r="FSJ129" s="3"/>
      <c r="FSK129" s="3"/>
      <c r="FSL129" s="3"/>
      <c r="FSM129" s="3"/>
      <c r="FSN129" s="3"/>
      <c r="FSO129" s="3"/>
      <c r="FSP129" s="3"/>
      <c r="FSQ129" s="3"/>
      <c r="FSR129" s="3"/>
      <c r="FSS129" s="3"/>
      <c r="FST129" s="3"/>
      <c r="FSU129" s="3"/>
      <c r="FSV129" s="3"/>
      <c r="FSW129" s="3"/>
      <c r="FSX129" s="3"/>
      <c r="FSY129" s="3"/>
      <c r="FSZ129" s="3"/>
      <c r="FTA129" s="3"/>
      <c r="FTB129" s="3"/>
      <c r="FTC129" s="3"/>
      <c r="FTD129" s="3"/>
      <c r="FTE129" s="3"/>
      <c r="FTF129" s="3"/>
      <c r="FTG129" s="3"/>
      <c r="FTH129" s="3"/>
      <c r="FTI129" s="3"/>
      <c r="FTJ129" s="3"/>
      <c r="FTK129" s="3"/>
      <c r="FTL129" s="3"/>
      <c r="FTM129" s="3"/>
      <c r="FTN129" s="3"/>
      <c r="FTO129" s="3"/>
      <c r="FTP129" s="3"/>
      <c r="FTQ129" s="3"/>
      <c r="FTR129" s="3"/>
      <c r="FTS129" s="3"/>
      <c r="FTT129" s="3"/>
      <c r="FTU129" s="3"/>
      <c r="FTV129" s="3"/>
      <c r="FTW129" s="3"/>
      <c r="FTX129" s="3"/>
      <c r="FTY129" s="3"/>
      <c r="FTZ129" s="3"/>
      <c r="FUA129" s="3"/>
      <c r="FUB129" s="3"/>
      <c r="FUC129" s="3"/>
      <c r="FUD129" s="3"/>
      <c r="FUE129" s="3"/>
      <c r="FUF129" s="3"/>
      <c r="FUG129" s="3"/>
      <c r="FUH129" s="3"/>
      <c r="FUI129" s="3"/>
      <c r="FUJ129" s="3"/>
      <c r="FUK129" s="3"/>
      <c r="FUL129" s="3"/>
      <c r="FUM129" s="3"/>
      <c r="FUN129" s="3"/>
      <c r="FUO129" s="3"/>
      <c r="FUP129" s="3"/>
      <c r="FUQ129" s="3"/>
      <c r="FUR129" s="3"/>
      <c r="FUS129" s="3"/>
      <c r="FUT129" s="3"/>
      <c r="FUU129" s="3"/>
      <c r="FUV129" s="3"/>
      <c r="FUW129" s="3"/>
      <c r="FUX129" s="3"/>
      <c r="FUY129" s="3"/>
      <c r="FUZ129" s="3"/>
      <c r="FVA129" s="3"/>
      <c r="FVB129" s="3"/>
      <c r="FVC129" s="3"/>
      <c r="FVD129" s="3"/>
      <c r="FVE129" s="3"/>
      <c r="FVF129" s="3"/>
      <c r="FVG129" s="3"/>
      <c r="FVH129" s="3"/>
      <c r="FVI129" s="3"/>
      <c r="FVJ129" s="3"/>
      <c r="FVK129" s="3"/>
      <c r="FVL129" s="3"/>
      <c r="FVM129" s="3"/>
      <c r="FVN129" s="3"/>
      <c r="FVO129" s="3"/>
      <c r="FVP129" s="3"/>
      <c r="FVQ129" s="3"/>
      <c r="FVR129" s="3"/>
      <c r="FVS129" s="3"/>
      <c r="FVT129" s="3"/>
      <c r="FVU129" s="3"/>
      <c r="FVV129" s="3"/>
      <c r="FVW129" s="3"/>
      <c r="FVX129" s="3"/>
      <c r="FVY129" s="3"/>
      <c r="FVZ129" s="3"/>
      <c r="FWA129" s="3"/>
      <c r="FWB129" s="3"/>
      <c r="FWC129" s="3"/>
      <c r="FWD129" s="3"/>
      <c r="FWE129" s="3"/>
      <c r="FWF129" s="3"/>
      <c r="FWG129" s="3"/>
      <c r="FWH129" s="3"/>
      <c r="FWI129" s="3"/>
      <c r="FWJ129" s="3"/>
      <c r="FWK129" s="3"/>
      <c r="FWL129" s="3"/>
      <c r="FWM129" s="3"/>
      <c r="FWN129" s="3"/>
      <c r="FWO129" s="3"/>
      <c r="FWP129" s="3"/>
      <c r="FWQ129" s="3"/>
      <c r="FWR129" s="3"/>
      <c r="FWS129" s="3"/>
      <c r="FWT129" s="3"/>
      <c r="FWU129" s="3"/>
      <c r="FWV129" s="3"/>
      <c r="FWW129" s="3"/>
      <c r="FWX129" s="3"/>
      <c r="FWY129" s="3"/>
      <c r="FWZ129" s="3"/>
      <c r="FXA129" s="3"/>
      <c r="FXB129" s="3"/>
      <c r="FXC129" s="3"/>
      <c r="FXD129" s="3"/>
      <c r="FXE129" s="3"/>
      <c r="FXF129" s="3"/>
      <c r="FXG129" s="3"/>
      <c r="FXH129" s="3"/>
      <c r="FXI129" s="3"/>
      <c r="FXJ129" s="3"/>
      <c r="FXK129" s="3"/>
      <c r="FXL129" s="3"/>
      <c r="FXM129" s="3"/>
      <c r="FXN129" s="3"/>
      <c r="FXO129" s="3"/>
      <c r="FXP129" s="3"/>
      <c r="FXQ129" s="3"/>
      <c r="FXR129" s="3"/>
      <c r="FXS129" s="3"/>
      <c r="FXT129" s="3"/>
      <c r="FXU129" s="3"/>
      <c r="FXV129" s="3"/>
      <c r="FXW129" s="3"/>
      <c r="FXX129" s="3"/>
      <c r="FXY129" s="3"/>
      <c r="FXZ129" s="3"/>
      <c r="FYA129" s="3"/>
      <c r="FYB129" s="3"/>
      <c r="FYC129" s="3"/>
      <c r="FYD129" s="3"/>
      <c r="FYE129" s="3"/>
      <c r="FYF129" s="3"/>
      <c r="FYG129" s="3"/>
      <c r="FYH129" s="3"/>
      <c r="FYI129" s="3"/>
      <c r="FYJ129" s="3"/>
      <c r="FYK129" s="3"/>
      <c r="FYL129" s="3"/>
      <c r="FYM129" s="3"/>
      <c r="FYN129" s="3"/>
      <c r="FYO129" s="3"/>
      <c r="FYP129" s="3"/>
      <c r="FYQ129" s="3"/>
      <c r="FYR129" s="3"/>
      <c r="FYS129" s="3"/>
      <c r="FYT129" s="3"/>
      <c r="FYU129" s="3"/>
      <c r="FYV129" s="3"/>
      <c r="FYW129" s="3"/>
      <c r="FYX129" s="3"/>
      <c r="FYY129" s="3"/>
      <c r="FYZ129" s="3"/>
      <c r="FZA129" s="3"/>
      <c r="FZB129" s="3"/>
      <c r="FZC129" s="3"/>
      <c r="FZD129" s="3"/>
      <c r="FZE129" s="3"/>
      <c r="FZF129" s="3"/>
      <c r="FZG129" s="3"/>
      <c r="FZH129" s="3"/>
      <c r="FZI129" s="3"/>
      <c r="FZJ129" s="3"/>
      <c r="FZK129" s="3"/>
      <c r="FZL129" s="3"/>
      <c r="FZM129" s="3"/>
      <c r="FZN129" s="3"/>
      <c r="FZO129" s="3"/>
      <c r="FZP129" s="3"/>
      <c r="FZQ129" s="3"/>
      <c r="FZR129" s="3"/>
      <c r="FZS129" s="3"/>
      <c r="FZT129" s="3"/>
      <c r="FZU129" s="3"/>
      <c r="FZV129" s="3"/>
      <c r="FZW129" s="3"/>
      <c r="FZX129" s="3"/>
      <c r="FZY129" s="3"/>
      <c r="FZZ129" s="3"/>
      <c r="GAA129" s="3"/>
      <c r="GAB129" s="3"/>
      <c r="GAC129" s="3"/>
      <c r="GAD129" s="3"/>
      <c r="GAE129" s="3"/>
      <c r="GAF129" s="3"/>
      <c r="GAG129" s="3"/>
      <c r="GAH129" s="3"/>
      <c r="GAI129" s="3"/>
      <c r="GAJ129" s="3"/>
      <c r="GAK129" s="3"/>
      <c r="GAL129" s="3"/>
      <c r="GAM129" s="3"/>
      <c r="GAN129" s="3"/>
      <c r="GAO129" s="3"/>
      <c r="GAP129" s="3"/>
      <c r="GAQ129" s="3"/>
      <c r="GAR129" s="3"/>
      <c r="GAS129" s="3"/>
      <c r="GAT129" s="3"/>
      <c r="GAU129" s="3"/>
      <c r="GAV129" s="3"/>
      <c r="GAW129" s="3"/>
      <c r="GAX129" s="3"/>
      <c r="GAY129" s="3"/>
      <c r="GAZ129" s="3"/>
      <c r="GBA129" s="3"/>
      <c r="GBB129" s="3"/>
      <c r="GBC129" s="3"/>
      <c r="GBD129" s="3"/>
      <c r="GBE129" s="3"/>
      <c r="GBF129" s="3"/>
      <c r="GBG129" s="3"/>
      <c r="GBH129" s="3"/>
      <c r="GBI129" s="3"/>
      <c r="GBJ129" s="3"/>
      <c r="GBK129" s="3"/>
      <c r="GBL129" s="3"/>
      <c r="GBM129" s="3"/>
      <c r="GBN129" s="3"/>
      <c r="GBO129" s="3"/>
      <c r="GBP129" s="3"/>
      <c r="GBQ129" s="3"/>
      <c r="GBR129" s="3"/>
      <c r="GBS129" s="3"/>
      <c r="GBT129" s="3"/>
      <c r="GBU129" s="3"/>
      <c r="GBV129" s="3"/>
      <c r="GBW129" s="3"/>
      <c r="GBX129" s="3"/>
      <c r="GBY129" s="3"/>
      <c r="GBZ129" s="3"/>
      <c r="GCA129" s="3"/>
      <c r="GCB129" s="3"/>
      <c r="GCC129" s="3"/>
      <c r="GCD129" s="3"/>
      <c r="GCE129" s="3"/>
      <c r="GCF129" s="3"/>
      <c r="GCG129" s="3"/>
      <c r="GCH129" s="3"/>
      <c r="GCI129" s="3"/>
      <c r="GCJ129" s="3"/>
      <c r="GCK129" s="3"/>
      <c r="GCL129" s="3"/>
      <c r="GCM129" s="3"/>
      <c r="GCN129" s="3"/>
      <c r="GCO129" s="3"/>
      <c r="GCP129" s="3"/>
      <c r="GCQ129" s="3"/>
      <c r="GCR129" s="3"/>
      <c r="GCS129" s="3"/>
      <c r="GCT129" s="3"/>
      <c r="GCU129" s="3"/>
      <c r="GCV129" s="3"/>
      <c r="GCW129" s="3"/>
      <c r="GCX129" s="3"/>
      <c r="GCY129" s="3"/>
      <c r="GCZ129" s="3"/>
      <c r="GDA129" s="3"/>
      <c r="GDB129" s="3"/>
      <c r="GDC129" s="3"/>
      <c r="GDD129" s="3"/>
      <c r="GDE129" s="3"/>
      <c r="GDF129" s="3"/>
      <c r="GDG129" s="3"/>
      <c r="GDH129" s="3"/>
      <c r="GDI129" s="3"/>
      <c r="GDJ129" s="3"/>
      <c r="GDK129" s="3"/>
      <c r="GDL129" s="3"/>
      <c r="GDM129" s="3"/>
      <c r="GDN129" s="3"/>
      <c r="GDO129" s="3"/>
      <c r="GDP129" s="3"/>
      <c r="GDQ129" s="3"/>
      <c r="GDR129" s="3"/>
      <c r="GDS129" s="3"/>
      <c r="GDT129" s="3"/>
      <c r="GDU129" s="3"/>
      <c r="GDV129" s="3"/>
      <c r="GDW129" s="3"/>
      <c r="GDX129" s="3"/>
      <c r="GDY129" s="3"/>
      <c r="GDZ129" s="3"/>
      <c r="GEA129" s="3"/>
      <c r="GEB129" s="3"/>
      <c r="GEC129" s="3"/>
      <c r="GED129" s="3"/>
      <c r="GEE129" s="3"/>
      <c r="GEF129" s="3"/>
      <c r="GEG129" s="3"/>
      <c r="GEH129" s="3"/>
      <c r="GEI129" s="3"/>
      <c r="GEJ129" s="3"/>
      <c r="GEK129" s="3"/>
      <c r="GEL129" s="3"/>
      <c r="GEM129" s="3"/>
      <c r="GEN129" s="3"/>
      <c r="GEO129" s="3"/>
      <c r="GEP129" s="3"/>
      <c r="GEQ129" s="3"/>
      <c r="GER129" s="3"/>
      <c r="GES129" s="3"/>
      <c r="GET129" s="3"/>
      <c r="GEU129" s="3"/>
      <c r="GEV129" s="3"/>
      <c r="GEW129" s="3"/>
      <c r="GEX129" s="3"/>
      <c r="GEY129" s="3"/>
      <c r="GEZ129" s="3"/>
      <c r="GFA129" s="3"/>
      <c r="GFB129" s="3"/>
      <c r="GFC129" s="3"/>
      <c r="GFD129" s="3"/>
      <c r="GFE129" s="3"/>
      <c r="GFF129" s="3"/>
      <c r="GFG129" s="3"/>
      <c r="GFH129" s="3"/>
      <c r="GFI129" s="3"/>
      <c r="GFJ129" s="3"/>
      <c r="GFK129" s="3"/>
      <c r="GFL129" s="3"/>
      <c r="GFM129" s="3"/>
      <c r="GFN129" s="3"/>
      <c r="GFO129" s="3"/>
      <c r="GFP129" s="3"/>
      <c r="GFQ129" s="3"/>
      <c r="GFR129" s="3"/>
      <c r="GFS129" s="3"/>
      <c r="GFT129" s="3"/>
      <c r="GFU129" s="3"/>
      <c r="GFV129" s="3"/>
      <c r="GFW129" s="3"/>
      <c r="GFX129" s="3"/>
      <c r="GFY129" s="3"/>
      <c r="GFZ129" s="3"/>
      <c r="GGA129" s="3"/>
      <c r="GGB129" s="3"/>
      <c r="GGC129" s="3"/>
      <c r="GGD129" s="3"/>
      <c r="GGE129" s="3"/>
      <c r="GGF129" s="3"/>
      <c r="GGG129" s="3"/>
      <c r="GGH129" s="3"/>
      <c r="GGI129" s="3"/>
      <c r="GGJ129" s="3"/>
      <c r="GGK129" s="3"/>
      <c r="GGL129" s="3"/>
      <c r="GGM129" s="3"/>
      <c r="GGN129" s="3"/>
      <c r="GGO129" s="3"/>
      <c r="GGP129" s="3"/>
      <c r="GGQ129" s="3"/>
      <c r="GGR129" s="3"/>
      <c r="GGS129" s="3"/>
      <c r="GGT129" s="3"/>
      <c r="GGU129" s="3"/>
      <c r="GGV129" s="3"/>
      <c r="GGW129" s="3"/>
      <c r="GGX129" s="3"/>
      <c r="GGY129" s="3"/>
      <c r="GGZ129" s="3"/>
      <c r="GHA129" s="3"/>
      <c r="GHB129" s="3"/>
      <c r="GHC129" s="3"/>
      <c r="GHD129" s="3"/>
      <c r="GHE129" s="3"/>
      <c r="GHF129" s="3"/>
      <c r="GHG129" s="3"/>
      <c r="GHH129" s="3"/>
      <c r="GHI129" s="3"/>
      <c r="GHJ129" s="3"/>
      <c r="GHK129" s="3"/>
      <c r="GHL129" s="3"/>
      <c r="GHM129" s="3"/>
      <c r="GHN129" s="3"/>
      <c r="GHO129" s="3"/>
      <c r="GHP129" s="3"/>
      <c r="GHQ129" s="3"/>
      <c r="GHR129" s="3"/>
      <c r="GHS129" s="3"/>
      <c r="GHT129" s="3"/>
      <c r="GHU129" s="3"/>
      <c r="GHV129" s="3"/>
      <c r="GHW129" s="3"/>
      <c r="GHX129" s="3"/>
      <c r="GHY129" s="3"/>
      <c r="GHZ129" s="3"/>
      <c r="GIA129" s="3"/>
      <c r="GIB129" s="3"/>
      <c r="GIC129" s="3"/>
      <c r="GID129" s="3"/>
      <c r="GIE129" s="3"/>
      <c r="GIF129" s="3"/>
      <c r="GIG129" s="3"/>
      <c r="GIH129" s="3"/>
      <c r="GII129" s="3"/>
      <c r="GIJ129" s="3"/>
      <c r="GIK129" s="3"/>
      <c r="GIL129" s="3"/>
      <c r="GIM129" s="3"/>
      <c r="GIN129" s="3"/>
      <c r="GIO129" s="3"/>
      <c r="GIP129" s="3"/>
      <c r="GIQ129" s="3"/>
      <c r="GIR129" s="3"/>
      <c r="GIS129" s="3"/>
      <c r="GIT129" s="3"/>
      <c r="GIU129" s="3"/>
      <c r="GIV129" s="3"/>
      <c r="GIW129" s="3"/>
      <c r="GIX129" s="3"/>
      <c r="GIY129" s="3"/>
      <c r="GIZ129" s="3"/>
      <c r="GJA129" s="3"/>
      <c r="GJB129" s="3"/>
      <c r="GJC129" s="3"/>
      <c r="GJD129" s="3"/>
      <c r="GJE129" s="3"/>
      <c r="GJF129" s="3"/>
      <c r="GJG129" s="3"/>
      <c r="GJH129" s="3"/>
      <c r="GJI129" s="3"/>
      <c r="GJJ129" s="3"/>
      <c r="GJK129" s="3"/>
      <c r="GJL129" s="3"/>
      <c r="GJM129" s="3"/>
      <c r="GJN129" s="3"/>
      <c r="GJO129" s="3"/>
      <c r="GJP129" s="3"/>
      <c r="GJQ129" s="3"/>
      <c r="GJR129" s="3"/>
      <c r="GJS129" s="3"/>
      <c r="GJT129" s="3"/>
      <c r="GJU129" s="3"/>
      <c r="GJV129" s="3"/>
      <c r="GJW129" s="3"/>
      <c r="GJX129" s="3"/>
      <c r="GJY129" s="3"/>
      <c r="GJZ129" s="3"/>
      <c r="GKA129" s="3"/>
      <c r="GKB129" s="3"/>
      <c r="GKC129" s="3"/>
      <c r="GKD129" s="3"/>
      <c r="GKE129" s="3"/>
      <c r="GKF129" s="3"/>
      <c r="GKG129" s="3"/>
      <c r="GKH129" s="3"/>
      <c r="GKI129" s="3"/>
      <c r="GKJ129" s="3"/>
      <c r="GKK129" s="3"/>
      <c r="GKL129" s="3"/>
      <c r="GKM129" s="3"/>
      <c r="GKN129" s="3"/>
      <c r="GKO129" s="3"/>
      <c r="GKP129" s="3"/>
      <c r="GKQ129" s="3"/>
      <c r="GKR129" s="3"/>
      <c r="GKS129" s="3"/>
      <c r="GKT129" s="3"/>
      <c r="GKU129" s="3"/>
      <c r="GKV129" s="3"/>
      <c r="GKW129" s="3"/>
      <c r="GKX129" s="3"/>
      <c r="GKY129" s="3"/>
      <c r="GKZ129" s="3"/>
      <c r="GLA129" s="3"/>
      <c r="GLB129" s="3"/>
      <c r="GLC129" s="3"/>
      <c r="GLD129" s="3"/>
      <c r="GLE129" s="3"/>
      <c r="GLF129" s="3"/>
      <c r="GLG129" s="3"/>
      <c r="GLH129" s="3"/>
      <c r="GLI129" s="3"/>
      <c r="GLJ129" s="3"/>
      <c r="GLK129" s="3"/>
      <c r="GLL129" s="3"/>
      <c r="GLM129" s="3"/>
      <c r="GLN129" s="3"/>
      <c r="GLO129" s="3"/>
      <c r="GLP129" s="3"/>
      <c r="GLQ129" s="3"/>
      <c r="GLR129" s="3"/>
      <c r="GLS129" s="3"/>
      <c r="GLT129" s="3"/>
      <c r="GLU129" s="3"/>
      <c r="GLV129" s="3"/>
      <c r="GLW129" s="3"/>
      <c r="GLX129" s="3"/>
      <c r="GLY129" s="3"/>
      <c r="GLZ129" s="3"/>
      <c r="GMA129" s="3"/>
      <c r="GMB129" s="3"/>
      <c r="GMC129" s="3"/>
      <c r="GMD129" s="3"/>
      <c r="GME129" s="3"/>
      <c r="GMF129" s="3"/>
      <c r="GMG129" s="3"/>
      <c r="GMH129" s="3"/>
      <c r="GMI129" s="3"/>
      <c r="GMJ129" s="3"/>
      <c r="GMK129" s="3"/>
      <c r="GML129" s="3"/>
      <c r="GMM129" s="3"/>
      <c r="GMN129" s="3"/>
      <c r="GMO129" s="3"/>
      <c r="GMP129" s="3"/>
      <c r="GMQ129" s="3"/>
      <c r="GMR129" s="3"/>
      <c r="GMS129" s="3"/>
      <c r="GMT129" s="3"/>
      <c r="GMU129" s="3"/>
      <c r="GMV129" s="3"/>
      <c r="GMW129" s="3"/>
      <c r="GMX129" s="3"/>
      <c r="GMY129" s="3"/>
      <c r="GMZ129" s="3"/>
      <c r="GNA129" s="3"/>
      <c r="GNB129" s="3"/>
      <c r="GNC129" s="3"/>
      <c r="GND129" s="3"/>
      <c r="GNE129" s="3"/>
      <c r="GNF129" s="3"/>
      <c r="GNG129" s="3"/>
      <c r="GNH129" s="3"/>
      <c r="GNI129" s="3"/>
      <c r="GNJ129" s="3"/>
      <c r="GNK129" s="3"/>
      <c r="GNL129" s="3"/>
      <c r="GNM129" s="3"/>
      <c r="GNN129" s="3"/>
      <c r="GNO129" s="3"/>
      <c r="GNP129" s="3"/>
      <c r="GNQ129" s="3"/>
      <c r="GNR129" s="3"/>
      <c r="GNS129" s="3"/>
      <c r="GNT129" s="3"/>
      <c r="GNU129" s="3"/>
      <c r="GNV129" s="3"/>
      <c r="GNW129" s="3"/>
      <c r="GNX129" s="3"/>
      <c r="GNY129" s="3"/>
      <c r="GNZ129" s="3"/>
      <c r="GOA129" s="3"/>
      <c r="GOB129" s="3"/>
      <c r="GOC129" s="3"/>
      <c r="GOD129" s="3"/>
      <c r="GOE129" s="3"/>
      <c r="GOF129" s="3"/>
      <c r="GOG129" s="3"/>
      <c r="GOH129" s="3"/>
      <c r="GOI129" s="3"/>
      <c r="GOJ129" s="3"/>
      <c r="GOK129" s="3"/>
      <c r="GOL129" s="3"/>
      <c r="GOM129" s="3"/>
      <c r="GON129" s="3"/>
      <c r="GOO129" s="3"/>
      <c r="GOP129" s="3"/>
      <c r="GOQ129" s="3"/>
      <c r="GOR129" s="3"/>
      <c r="GOS129" s="3"/>
      <c r="GOT129" s="3"/>
      <c r="GOU129" s="3"/>
      <c r="GOV129" s="3"/>
      <c r="GOW129" s="3"/>
      <c r="GOX129" s="3"/>
      <c r="GOY129" s="3"/>
      <c r="GOZ129" s="3"/>
      <c r="GPA129" s="3"/>
      <c r="GPB129" s="3"/>
      <c r="GPC129" s="3"/>
      <c r="GPD129" s="3"/>
      <c r="GPE129" s="3"/>
      <c r="GPF129" s="3"/>
      <c r="GPG129" s="3"/>
      <c r="GPH129" s="3"/>
      <c r="GPI129" s="3"/>
      <c r="GPJ129" s="3"/>
      <c r="GPK129" s="3"/>
      <c r="GPL129" s="3"/>
      <c r="GPM129" s="3"/>
      <c r="GPN129" s="3"/>
      <c r="GPO129" s="3"/>
      <c r="GPP129" s="3"/>
      <c r="GPQ129" s="3"/>
      <c r="GPR129" s="3"/>
      <c r="GPS129" s="3"/>
      <c r="GPT129" s="3"/>
      <c r="GPU129" s="3"/>
      <c r="GPV129" s="3"/>
      <c r="GPW129" s="3"/>
      <c r="GPX129" s="3"/>
      <c r="GPY129" s="3"/>
      <c r="GPZ129" s="3"/>
      <c r="GQA129" s="3"/>
      <c r="GQB129" s="3"/>
      <c r="GQC129" s="3"/>
      <c r="GQD129" s="3"/>
      <c r="GQE129" s="3"/>
      <c r="GQF129" s="3"/>
      <c r="GQG129" s="3"/>
      <c r="GQH129" s="3"/>
      <c r="GQI129" s="3"/>
      <c r="GQJ129" s="3"/>
      <c r="GQK129" s="3"/>
      <c r="GQL129" s="3"/>
      <c r="GQM129" s="3"/>
      <c r="GQN129" s="3"/>
      <c r="GQO129" s="3"/>
      <c r="GQP129" s="3"/>
      <c r="GQQ129" s="3"/>
      <c r="GQR129" s="3"/>
      <c r="GQS129" s="3"/>
      <c r="GQT129" s="3"/>
      <c r="GQU129" s="3"/>
      <c r="GQV129" s="3"/>
      <c r="GQW129" s="3"/>
      <c r="GQX129" s="3"/>
      <c r="GQY129" s="3"/>
      <c r="GQZ129" s="3"/>
      <c r="GRA129" s="3"/>
      <c r="GRB129" s="3"/>
      <c r="GRC129" s="3"/>
      <c r="GRD129" s="3"/>
      <c r="GRE129" s="3"/>
      <c r="GRF129" s="3"/>
      <c r="GRG129" s="3"/>
      <c r="GRH129" s="3"/>
      <c r="GRI129" s="3"/>
      <c r="GRJ129" s="3"/>
      <c r="GRK129" s="3"/>
      <c r="GRL129" s="3"/>
      <c r="GRM129" s="3"/>
      <c r="GRN129" s="3"/>
      <c r="GRO129" s="3"/>
      <c r="GRP129" s="3"/>
      <c r="GRQ129" s="3"/>
      <c r="GRR129" s="3"/>
      <c r="GRS129" s="3"/>
      <c r="GRT129" s="3"/>
      <c r="GRU129" s="3"/>
      <c r="GRV129" s="3"/>
      <c r="GRW129" s="3"/>
      <c r="GRX129" s="3"/>
      <c r="GRY129" s="3"/>
      <c r="GRZ129" s="3"/>
      <c r="GSA129" s="3"/>
      <c r="GSB129" s="3"/>
      <c r="GSC129" s="3"/>
      <c r="GSD129" s="3"/>
      <c r="GSE129" s="3"/>
      <c r="GSF129" s="3"/>
      <c r="GSG129" s="3"/>
      <c r="GSH129" s="3"/>
      <c r="GSI129" s="3"/>
      <c r="GSJ129" s="3"/>
      <c r="GSK129" s="3"/>
      <c r="GSL129" s="3"/>
      <c r="GSM129" s="3"/>
      <c r="GSN129" s="3"/>
      <c r="GSO129" s="3"/>
      <c r="GSP129" s="3"/>
      <c r="GSQ129" s="3"/>
      <c r="GSR129" s="3"/>
      <c r="GSS129" s="3"/>
      <c r="GST129" s="3"/>
      <c r="GSU129" s="3"/>
      <c r="GSV129" s="3"/>
      <c r="GSW129" s="3"/>
      <c r="GSX129" s="3"/>
      <c r="GSY129" s="3"/>
      <c r="GSZ129" s="3"/>
      <c r="GTA129" s="3"/>
      <c r="GTB129" s="3"/>
      <c r="GTC129" s="3"/>
      <c r="GTD129" s="3"/>
      <c r="GTE129" s="3"/>
      <c r="GTF129" s="3"/>
      <c r="GTG129" s="3"/>
      <c r="GTH129" s="3"/>
      <c r="GTI129" s="3"/>
      <c r="GTJ129" s="3"/>
      <c r="GTK129" s="3"/>
      <c r="GTL129" s="3"/>
      <c r="GTM129" s="3"/>
      <c r="GTN129" s="3"/>
      <c r="GTO129" s="3"/>
      <c r="GTP129" s="3"/>
      <c r="GTQ129" s="3"/>
      <c r="GTR129" s="3"/>
      <c r="GTS129" s="3"/>
      <c r="GTT129" s="3"/>
      <c r="GTU129" s="3"/>
      <c r="GTV129" s="3"/>
      <c r="GTW129" s="3"/>
      <c r="GTX129" s="3"/>
      <c r="GTY129" s="3"/>
      <c r="GTZ129" s="3"/>
      <c r="GUA129" s="3"/>
      <c r="GUB129" s="3"/>
      <c r="GUC129" s="3"/>
      <c r="GUD129" s="3"/>
      <c r="GUE129" s="3"/>
      <c r="GUF129" s="3"/>
      <c r="GUG129" s="3"/>
      <c r="GUH129" s="3"/>
      <c r="GUI129" s="3"/>
      <c r="GUJ129" s="3"/>
      <c r="GUK129" s="3"/>
      <c r="GUL129" s="3"/>
      <c r="GUM129" s="3"/>
      <c r="GUN129" s="3"/>
      <c r="GUO129" s="3"/>
      <c r="GUP129" s="3"/>
      <c r="GUQ129" s="3"/>
      <c r="GUR129" s="3"/>
      <c r="GUS129" s="3"/>
      <c r="GUT129" s="3"/>
      <c r="GUU129" s="3"/>
      <c r="GUV129" s="3"/>
      <c r="GUW129" s="3"/>
      <c r="GUX129" s="3"/>
      <c r="GUY129" s="3"/>
      <c r="GUZ129" s="3"/>
      <c r="GVA129" s="3"/>
      <c r="GVB129" s="3"/>
      <c r="GVC129" s="3"/>
      <c r="GVD129" s="3"/>
      <c r="GVE129" s="3"/>
      <c r="GVF129" s="3"/>
      <c r="GVG129" s="3"/>
      <c r="GVH129" s="3"/>
      <c r="GVI129" s="3"/>
      <c r="GVJ129" s="3"/>
      <c r="GVK129" s="3"/>
      <c r="GVL129" s="3"/>
      <c r="GVM129" s="3"/>
      <c r="GVN129" s="3"/>
      <c r="GVO129" s="3"/>
      <c r="GVP129" s="3"/>
      <c r="GVQ129" s="3"/>
      <c r="GVR129" s="3"/>
      <c r="GVS129" s="3"/>
      <c r="GVT129" s="3"/>
      <c r="GVU129" s="3"/>
      <c r="GVV129" s="3"/>
      <c r="GVW129" s="3"/>
      <c r="GVX129" s="3"/>
      <c r="GVY129" s="3"/>
      <c r="GVZ129" s="3"/>
      <c r="GWA129" s="3"/>
      <c r="GWB129" s="3"/>
      <c r="GWC129" s="3"/>
      <c r="GWD129" s="3"/>
      <c r="GWE129" s="3"/>
      <c r="GWF129" s="3"/>
      <c r="GWG129" s="3"/>
      <c r="GWH129" s="3"/>
      <c r="GWI129" s="3"/>
      <c r="GWJ129" s="3"/>
      <c r="GWK129" s="3"/>
      <c r="GWL129" s="3"/>
      <c r="GWM129" s="3"/>
      <c r="GWN129" s="3"/>
      <c r="GWO129" s="3"/>
      <c r="GWP129" s="3"/>
      <c r="GWQ129" s="3"/>
      <c r="GWR129" s="3"/>
      <c r="GWS129" s="3"/>
      <c r="GWT129" s="3"/>
      <c r="GWU129" s="3"/>
      <c r="GWV129" s="3"/>
      <c r="GWW129" s="3"/>
      <c r="GWX129" s="3"/>
      <c r="GWY129" s="3"/>
      <c r="GWZ129" s="3"/>
      <c r="GXA129" s="3"/>
      <c r="GXB129" s="3"/>
      <c r="GXC129" s="3"/>
      <c r="GXD129" s="3"/>
      <c r="GXE129" s="3"/>
      <c r="GXF129" s="3"/>
      <c r="GXG129" s="3"/>
      <c r="GXH129" s="3"/>
      <c r="GXI129" s="3"/>
      <c r="GXJ129" s="3"/>
      <c r="GXK129" s="3"/>
      <c r="GXL129" s="3"/>
      <c r="GXM129" s="3"/>
      <c r="GXN129" s="3"/>
      <c r="GXO129" s="3"/>
      <c r="GXP129" s="3"/>
      <c r="GXQ129" s="3"/>
      <c r="GXR129" s="3"/>
      <c r="GXS129" s="3"/>
      <c r="GXT129" s="3"/>
      <c r="GXU129" s="3"/>
      <c r="GXV129" s="3"/>
      <c r="GXW129" s="3"/>
      <c r="GXX129" s="3"/>
      <c r="GXY129" s="3"/>
      <c r="GXZ129" s="3"/>
      <c r="GYA129" s="3"/>
      <c r="GYB129" s="3"/>
      <c r="GYC129" s="3"/>
      <c r="GYD129" s="3"/>
      <c r="GYE129" s="3"/>
      <c r="GYF129" s="3"/>
      <c r="GYG129" s="3"/>
      <c r="GYH129" s="3"/>
      <c r="GYI129" s="3"/>
      <c r="GYJ129" s="3"/>
      <c r="GYK129" s="3"/>
      <c r="GYL129" s="3"/>
      <c r="GYM129" s="3"/>
      <c r="GYN129" s="3"/>
      <c r="GYO129" s="3"/>
      <c r="GYP129" s="3"/>
      <c r="GYQ129" s="3"/>
      <c r="GYR129" s="3"/>
      <c r="GYS129" s="3"/>
      <c r="GYT129" s="3"/>
      <c r="GYU129" s="3"/>
      <c r="GYV129" s="3"/>
      <c r="GYW129" s="3"/>
      <c r="GYX129" s="3"/>
      <c r="GYY129" s="3"/>
      <c r="GYZ129" s="3"/>
      <c r="GZA129" s="3"/>
      <c r="GZB129" s="3"/>
      <c r="GZC129" s="3"/>
      <c r="GZD129" s="3"/>
      <c r="GZE129" s="3"/>
      <c r="GZF129" s="3"/>
      <c r="GZG129" s="3"/>
      <c r="GZH129" s="3"/>
      <c r="GZI129" s="3"/>
      <c r="GZJ129" s="3"/>
      <c r="GZK129" s="3"/>
      <c r="GZL129" s="3"/>
      <c r="GZM129" s="3"/>
      <c r="GZN129" s="3"/>
      <c r="GZO129" s="3"/>
      <c r="GZP129" s="3"/>
      <c r="GZQ129" s="3"/>
      <c r="GZR129" s="3"/>
      <c r="GZS129" s="3"/>
      <c r="GZT129" s="3"/>
      <c r="GZU129" s="3"/>
      <c r="GZV129" s="3"/>
      <c r="GZW129" s="3"/>
      <c r="GZX129" s="3"/>
      <c r="GZY129" s="3"/>
      <c r="GZZ129" s="3"/>
      <c r="HAA129" s="3"/>
      <c r="HAB129" s="3"/>
      <c r="HAC129" s="3"/>
      <c r="HAD129" s="3"/>
      <c r="HAE129" s="3"/>
      <c r="HAF129" s="3"/>
      <c r="HAG129" s="3"/>
      <c r="HAH129" s="3"/>
      <c r="HAI129" s="3"/>
      <c r="HAJ129" s="3"/>
      <c r="HAK129" s="3"/>
      <c r="HAL129" s="3"/>
      <c r="HAM129" s="3"/>
      <c r="HAN129" s="3"/>
      <c r="HAO129" s="3"/>
      <c r="HAP129" s="3"/>
      <c r="HAQ129" s="3"/>
      <c r="HAR129" s="3"/>
      <c r="HAS129" s="3"/>
      <c r="HAT129" s="3"/>
      <c r="HAU129" s="3"/>
      <c r="HAV129" s="3"/>
      <c r="HAW129" s="3"/>
      <c r="HAX129" s="3"/>
      <c r="HAY129" s="3"/>
      <c r="HAZ129" s="3"/>
      <c r="HBA129" s="3"/>
      <c r="HBB129" s="3"/>
      <c r="HBC129" s="3"/>
      <c r="HBD129" s="3"/>
      <c r="HBE129" s="3"/>
      <c r="HBF129" s="3"/>
      <c r="HBG129" s="3"/>
      <c r="HBH129" s="3"/>
      <c r="HBI129" s="3"/>
      <c r="HBJ129" s="3"/>
      <c r="HBK129" s="3"/>
      <c r="HBL129" s="3"/>
      <c r="HBM129" s="3"/>
      <c r="HBN129" s="3"/>
      <c r="HBO129" s="3"/>
      <c r="HBP129" s="3"/>
      <c r="HBQ129" s="3"/>
      <c r="HBR129" s="3"/>
      <c r="HBS129" s="3"/>
      <c r="HBT129" s="3"/>
      <c r="HBU129" s="3"/>
      <c r="HBV129" s="3"/>
      <c r="HBW129" s="3"/>
      <c r="HBX129" s="3"/>
      <c r="HBY129" s="3"/>
      <c r="HBZ129" s="3"/>
      <c r="HCA129" s="3"/>
      <c r="HCB129" s="3"/>
      <c r="HCC129" s="3"/>
      <c r="HCD129" s="3"/>
      <c r="HCE129" s="3"/>
      <c r="HCF129" s="3"/>
      <c r="HCG129" s="3"/>
      <c r="HCH129" s="3"/>
      <c r="HCI129" s="3"/>
      <c r="HCJ129" s="3"/>
      <c r="HCK129" s="3"/>
      <c r="HCL129" s="3"/>
      <c r="HCM129" s="3"/>
      <c r="HCN129" s="3"/>
      <c r="HCO129" s="3"/>
      <c r="HCP129" s="3"/>
      <c r="HCQ129" s="3"/>
      <c r="HCR129" s="3"/>
      <c r="HCS129" s="3"/>
      <c r="HCT129" s="3"/>
      <c r="HCU129" s="3"/>
      <c r="HCV129" s="3"/>
      <c r="HCW129" s="3"/>
      <c r="HCX129" s="3"/>
      <c r="HCY129" s="3"/>
      <c r="HCZ129" s="3"/>
      <c r="HDA129" s="3"/>
      <c r="HDB129" s="3"/>
      <c r="HDC129" s="3"/>
      <c r="HDD129" s="3"/>
      <c r="HDE129" s="3"/>
      <c r="HDF129" s="3"/>
      <c r="HDG129" s="3"/>
      <c r="HDH129" s="3"/>
      <c r="HDI129" s="3"/>
      <c r="HDJ129" s="3"/>
      <c r="HDK129" s="3"/>
      <c r="HDL129" s="3"/>
      <c r="HDM129" s="3"/>
      <c r="HDN129" s="3"/>
      <c r="HDO129" s="3"/>
      <c r="HDP129" s="3"/>
      <c r="HDQ129" s="3"/>
      <c r="HDR129" s="3"/>
      <c r="HDS129" s="3"/>
      <c r="HDT129" s="3"/>
      <c r="HDU129" s="3"/>
      <c r="HDV129" s="3"/>
      <c r="HDW129" s="3"/>
      <c r="HDX129" s="3"/>
      <c r="HDY129" s="3"/>
      <c r="HDZ129" s="3"/>
      <c r="HEA129" s="3"/>
      <c r="HEB129" s="3"/>
      <c r="HEC129" s="3"/>
      <c r="HED129" s="3"/>
      <c r="HEE129" s="3"/>
      <c r="HEF129" s="3"/>
      <c r="HEG129" s="3"/>
      <c r="HEH129" s="3"/>
      <c r="HEI129" s="3"/>
      <c r="HEJ129" s="3"/>
      <c r="HEK129" s="3"/>
      <c r="HEL129" s="3"/>
      <c r="HEM129" s="3"/>
      <c r="HEN129" s="3"/>
      <c r="HEO129" s="3"/>
      <c r="HEP129" s="3"/>
      <c r="HEQ129" s="3"/>
      <c r="HER129" s="3"/>
      <c r="HES129" s="3"/>
      <c r="HET129" s="3"/>
      <c r="HEU129" s="3"/>
      <c r="HEV129" s="3"/>
      <c r="HEW129" s="3"/>
      <c r="HEX129" s="3"/>
      <c r="HEY129" s="3"/>
      <c r="HEZ129" s="3"/>
      <c r="HFA129" s="3"/>
      <c r="HFB129" s="3"/>
      <c r="HFC129" s="3"/>
      <c r="HFD129" s="3"/>
      <c r="HFE129" s="3"/>
      <c r="HFF129" s="3"/>
      <c r="HFG129" s="3"/>
      <c r="HFH129" s="3"/>
      <c r="HFI129" s="3"/>
      <c r="HFJ129" s="3"/>
      <c r="HFK129" s="3"/>
      <c r="HFL129" s="3"/>
      <c r="HFM129" s="3"/>
      <c r="HFN129" s="3"/>
      <c r="HFO129" s="3"/>
      <c r="HFP129" s="3"/>
      <c r="HFQ129" s="3"/>
      <c r="HFR129" s="3"/>
      <c r="HFS129" s="3"/>
      <c r="HFT129" s="3"/>
      <c r="HFU129" s="3"/>
      <c r="HFV129" s="3"/>
      <c r="HFW129" s="3"/>
      <c r="HFX129" s="3"/>
      <c r="HFY129" s="3"/>
      <c r="HFZ129" s="3"/>
      <c r="HGA129" s="3"/>
      <c r="HGB129" s="3"/>
      <c r="HGC129" s="3"/>
      <c r="HGD129" s="3"/>
      <c r="HGE129" s="3"/>
      <c r="HGF129" s="3"/>
      <c r="HGG129" s="3"/>
      <c r="HGH129" s="3"/>
      <c r="HGI129" s="3"/>
      <c r="HGJ129" s="3"/>
      <c r="HGK129" s="3"/>
      <c r="HGL129" s="3"/>
      <c r="HGM129" s="3"/>
      <c r="HGN129" s="3"/>
      <c r="HGO129" s="3"/>
      <c r="HGP129" s="3"/>
      <c r="HGQ129" s="3"/>
      <c r="HGR129" s="3"/>
      <c r="HGS129" s="3"/>
      <c r="HGT129" s="3"/>
      <c r="HGU129" s="3"/>
      <c r="HGV129" s="3"/>
      <c r="HGW129" s="3"/>
      <c r="HGX129" s="3"/>
      <c r="HGY129" s="3"/>
      <c r="HGZ129" s="3"/>
      <c r="HHA129" s="3"/>
      <c r="HHB129" s="3"/>
      <c r="HHC129" s="3"/>
      <c r="HHD129" s="3"/>
      <c r="HHE129" s="3"/>
      <c r="HHF129" s="3"/>
      <c r="HHG129" s="3"/>
      <c r="HHH129" s="3"/>
      <c r="HHI129" s="3"/>
      <c r="HHJ129" s="3"/>
      <c r="HHK129" s="3"/>
      <c r="HHL129" s="3"/>
      <c r="HHM129" s="3"/>
      <c r="HHN129" s="3"/>
      <c r="HHO129" s="3"/>
      <c r="HHP129" s="3"/>
      <c r="HHQ129" s="3"/>
      <c r="HHR129" s="3"/>
      <c r="HHS129" s="3"/>
      <c r="HHT129" s="3"/>
      <c r="HHU129" s="3"/>
      <c r="HHV129" s="3"/>
      <c r="HHW129" s="3"/>
      <c r="HHX129" s="3"/>
      <c r="HHY129" s="3"/>
      <c r="HHZ129" s="3"/>
      <c r="HIA129" s="3"/>
      <c r="HIB129" s="3"/>
      <c r="HIC129" s="3"/>
      <c r="HID129" s="3"/>
      <c r="HIE129" s="3"/>
      <c r="HIF129" s="3"/>
      <c r="HIG129" s="3"/>
      <c r="HIH129" s="3"/>
      <c r="HII129" s="3"/>
      <c r="HIJ129" s="3"/>
      <c r="HIK129" s="3"/>
      <c r="HIL129" s="3"/>
      <c r="HIM129" s="3"/>
      <c r="HIN129" s="3"/>
      <c r="HIO129" s="3"/>
      <c r="HIP129" s="3"/>
      <c r="HIQ129" s="3"/>
      <c r="HIR129" s="3"/>
      <c r="HIS129" s="3"/>
      <c r="HIT129" s="3"/>
      <c r="HIU129" s="3"/>
      <c r="HIV129" s="3"/>
      <c r="HIW129" s="3"/>
      <c r="HIX129" s="3"/>
      <c r="HIY129" s="3"/>
      <c r="HIZ129" s="3"/>
      <c r="HJA129" s="3"/>
      <c r="HJB129" s="3"/>
      <c r="HJC129" s="3"/>
      <c r="HJD129" s="3"/>
      <c r="HJE129" s="3"/>
      <c r="HJF129" s="3"/>
      <c r="HJG129" s="3"/>
      <c r="HJH129" s="3"/>
      <c r="HJI129" s="3"/>
      <c r="HJJ129" s="3"/>
      <c r="HJK129" s="3"/>
      <c r="HJL129" s="3"/>
      <c r="HJM129" s="3"/>
      <c r="HJN129" s="3"/>
      <c r="HJO129" s="3"/>
      <c r="HJP129" s="3"/>
      <c r="HJQ129" s="3"/>
      <c r="HJR129" s="3"/>
      <c r="HJS129" s="3"/>
      <c r="HJT129" s="3"/>
      <c r="HJU129" s="3"/>
      <c r="HJV129" s="3"/>
      <c r="HJW129" s="3"/>
      <c r="HJX129" s="3"/>
      <c r="HJY129" s="3"/>
      <c r="HJZ129" s="3"/>
      <c r="HKA129" s="3"/>
      <c r="HKB129" s="3"/>
      <c r="HKC129" s="3"/>
      <c r="HKD129" s="3"/>
      <c r="HKE129" s="3"/>
      <c r="HKF129" s="3"/>
      <c r="HKG129" s="3"/>
      <c r="HKH129" s="3"/>
      <c r="HKI129" s="3"/>
      <c r="HKJ129" s="3"/>
      <c r="HKK129" s="3"/>
      <c r="HKL129" s="3"/>
      <c r="HKM129" s="3"/>
      <c r="HKN129" s="3"/>
      <c r="HKO129" s="3"/>
      <c r="HKP129" s="3"/>
      <c r="HKQ129" s="3"/>
      <c r="HKR129" s="3"/>
      <c r="HKS129" s="3"/>
      <c r="HKT129" s="3"/>
      <c r="HKU129" s="3"/>
      <c r="HKV129" s="3"/>
      <c r="HKW129" s="3"/>
      <c r="HKX129" s="3"/>
      <c r="HKY129" s="3"/>
      <c r="HKZ129" s="3"/>
      <c r="HLA129" s="3"/>
      <c r="HLB129" s="3"/>
      <c r="HLC129" s="3"/>
      <c r="HLD129" s="3"/>
      <c r="HLE129" s="3"/>
      <c r="HLF129" s="3"/>
      <c r="HLG129" s="3"/>
      <c r="HLH129" s="3"/>
      <c r="HLI129" s="3"/>
      <c r="HLJ129" s="3"/>
      <c r="HLK129" s="3"/>
      <c r="HLL129" s="3"/>
      <c r="HLM129" s="3"/>
      <c r="HLN129" s="3"/>
      <c r="HLO129" s="3"/>
      <c r="HLP129" s="3"/>
      <c r="HLQ129" s="3"/>
      <c r="HLR129" s="3"/>
      <c r="HLS129" s="3"/>
      <c r="HLT129" s="3"/>
      <c r="HLU129" s="3"/>
      <c r="HLV129" s="3"/>
      <c r="HLW129" s="3"/>
      <c r="HLX129" s="3"/>
      <c r="HLY129" s="3"/>
      <c r="HLZ129" s="3"/>
      <c r="HMA129" s="3"/>
      <c r="HMB129" s="3"/>
      <c r="HMC129" s="3"/>
      <c r="HMD129" s="3"/>
      <c r="HME129" s="3"/>
      <c r="HMF129" s="3"/>
      <c r="HMG129" s="3"/>
      <c r="HMH129" s="3"/>
      <c r="HMI129" s="3"/>
      <c r="HMJ129" s="3"/>
      <c r="HMK129" s="3"/>
      <c r="HML129" s="3"/>
      <c r="HMM129" s="3"/>
      <c r="HMN129" s="3"/>
      <c r="HMO129" s="3"/>
      <c r="HMP129" s="3"/>
      <c r="HMQ129" s="3"/>
      <c r="HMR129" s="3"/>
      <c r="HMS129" s="3"/>
      <c r="HMT129" s="3"/>
      <c r="HMU129" s="3"/>
      <c r="HMV129" s="3"/>
      <c r="HMW129" s="3"/>
      <c r="HMX129" s="3"/>
      <c r="HMY129" s="3"/>
      <c r="HMZ129" s="3"/>
      <c r="HNA129" s="3"/>
      <c r="HNB129" s="3"/>
      <c r="HNC129" s="3"/>
      <c r="HND129" s="3"/>
      <c r="HNE129" s="3"/>
      <c r="HNF129" s="3"/>
      <c r="HNG129" s="3"/>
      <c r="HNH129" s="3"/>
      <c r="HNI129" s="3"/>
      <c r="HNJ129" s="3"/>
      <c r="HNK129" s="3"/>
      <c r="HNL129" s="3"/>
      <c r="HNM129" s="3"/>
      <c r="HNN129" s="3"/>
      <c r="HNO129" s="3"/>
      <c r="HNP129" s="3"/>
      <c r="HNQ129" s="3"/>
      <c r="HNR129" s="3"/>
      <c r="HNS129" s="3"/>
      <c r="HNT129" s="3"/>
      <c r="HNU129" s="3"/>
      <c r="HNV129" s="3"/>
      <c r="HNW129" s="3"/>
      <c r="HNX129" s="3"/>
      <c r="HNY129" s="3"/>
      <c r="HNZ129" s="3"/>
      <c r="HOA129" s="3"/>
      <c r="HOB129" s="3"/>
      <c r="HOC129" s="3"/>
      <c r="HOD129" s="3"/>
      <c r="HOE129" s="3"/>
      <c r="HOF129" s="3"/>
      <c r="HOG129" s="3"/>
      <c r="HOH129" s="3"/>
      <c r="HOI129" s="3"/>
      <c r="HOJ129" s="3"/>
      <c r="HOK129" s="3"/>
      <c r="HOL129" s="3"/>
      <c r="HOM129" s="3"/>
      <c r="HON129" s="3"/>
      <c r="HOO129" s="3"/>
      <c r="HOP129" s="3"/>
      <c r="HOQ129" s="3"/>
      <c r="HOR129" s="3"/>
      <c r="HOS129" s="3"/>
      <c r="HOT129" s="3"/>
      <c r="HOU129" s="3"/>
      <c r="HOV129" s="3"/>
      <c r="HOW129" s="3"/>
      <c r="HOX129" s="3"/>
      <c r="HOY129" s="3"/>
      <c r="HOZ129" s="3"/>
      <c r="HPA129" s="3"/>
      <c r="HPB129" s="3"/>
      <c r="HPC129" s="3"/>
      <c r="HPD129" s="3"/>
      <c r="HPE129" s="3"/>
      <c r="HPF129" s="3"/>
      <c r="HPG129" s="3"/>
      <c r="HPH129" s="3"/>
      <c r="HPI129" s="3"/>
      <c r="HPJ129" s="3"/>
      <c r="HPK129" s="3"/>
      <c r="HPL129" s="3"/>
      <c r="HPM129" s="3"/>
      <c r="HPN129" s="3"/>
      <c r="HPO129" s="3"/>
      <c r="HPP129" s="3"/>
      <c r="HPQ129" s="3"/>
      <c r="HPR129" s="3"/>
      <c r="HPS129" s="3"/>
      <c r="HPT129" s="3"/>
      <c r="HPU129" s="3"/>
      <c r="HPV129" s="3"/>
      <c r="HPW129" s="3"/>
      <c r="HPX129" s="3"/>
      <c r="HPY129" s="3"/>
      <c r="HPZ129" s="3"/>
      <c r="HQA129" s="3"/>
      <c r="HQB129" s="3"/>
      <c r="HQC129" s="3"/>
      <c r="HQD129" s="3"/>
      <c r="HQE129" s="3"/>
      <c r="HQF129" s="3"/>
      <c r="HQG129" s="3"/>
      <c r="HQH129" s="3"/>
      <c r="HQI129" s="3"/>
      <c r="HQJ129" s="3"/>
      <c r="HQK129" s="3"/>
      <c r="HQL129" s="3"/>
      <c r="HQM129" s="3"/>
      <c r="HQN129" s="3"/>
      <c r="HQO129" s="3"/>
      <c r="HQP129" s="3"/>
      <c r="HQQ129" s="3"/>
      <c r="HQR129" s="3"/>
      <c r="HQS129" s="3"/>
      <c r="HQT129" s="3"/>
      <c r="HQU129" s="3"/>
      <c r="HQV129" s="3"/>
      <c r="HQW129" s="3"/>
      <c r="HQX129" s="3"/>
      <c r="HQY129" s="3"/>
      <c r="HQZ129" s="3"/>
      <c r="HRA129" s="3"/>
      <c r="HRB129" s="3"/>
      <c r="HRC129" s="3"/>
      <c r="HRD129" s="3"/>
      <c r="HRE129" s="3"/>
      <c r="HRF129" s="3"/>
      <c r="HRG129" s="3"/>
      <c r="HRH129" s="3"/>
      <c r="HRI129" s="3"/>
      <c r="HRJ129" s="3"/>
      <c r="HRK129" s="3"/>
      <c r="HRL129" s="3"/>
      <c r="HRM129" s="3"/>
      <c r="HRN129" s="3"/>
      <c r="HRO129" s="3"/>
      <c r="HRP129" s="3"/>
      <c r="HRQ129" s="3"/>
      <c r="HRR129" s="3"/>
      <c r="HRS129" s="3"/>
      <c r="HRT129" s="3"/>
      <c r="HRU129" s="3"/>
      <c r="HRV129" s="3"/>
      <c r="HRW129" s="3"/>
      <c r="HRX129" s="3"/>
      <c r="HRY129" s="3"/>
      <c r="HRZ129" s="3"/>
      <c r="HSA129" s="3"/>
      <c r="HSB129" s="3"/>
      <c r="HSC129" s="3"/>
      <c r="HSD129" s="3"/>
      <c r="HSE129" s="3"/>
      <c r="HSF129" s="3"/>
      <c r="HSG129" s="3"/>
      <c r="HSH129" s="3"/>
      <c r="HSI129" s="3"/>
      <c r="HSJ129" s="3"/>
      <c r="HSK129" s="3"/>
      <c r="HSL129" s="3"/>
      <c r="HSM129" s="3"/>
      <c r="HSN129" s="3"/>
      <c r="HSO129" s="3"/>
      <c r="HSP129" s="3"/>
      <c r="HSQ129" s="3"/>
      <c r="HSR129" s="3"/>
      <c r="HSS129" s="3"/>
      <c r="HST129" s="3"/>
      <c r="HSU129" s="3"/>
      <c r="HSV129" s="3"/>
      <c r="HSW129" s="3"/>
      <c r="HSX129" s="3"/>
      <c r="HSY129" s="3"/>
      <c r="HSZ129" s="3"/>
      <c r="HTA129" s="3"/>
      <c r="HTB129" s="3"/>
      <c r="HTC129" s="3"/>
      <c r="HTD129" s="3"/>
      <c r="HTE129" s="3"/>
      <c r="HTF129" s="3"/>
      <c r="HTG129" s="3"/>
      <c r="HTH129" s="3"/>
      <c r="HTI129" s="3"/>
      <c r="HTJ129" s="3"/>
      <c r="HTK129" s="3"/>
      <c r="HTL129" s="3"/>
      <c r="HTM129" s="3"/>
      <c r="HTN129" s="3"/>
      <c r="HTO129" s="3"/>
      <c r="HTP129" s="3"/>
      <c r="HTQ129" s="3"/>
      <c r="HTR129" s="3"/>
      <c r="HTS129" s="3"/>
      <c r="HTT129" s="3"/>
      <c r="HTU129" s="3"/>
      <c r="HTV129" s="3"/>
      <c r="HTW129" s="3"/>
      <c r="HTX129" s="3"/>
      <c r="HTY129" s="3"/>
      <c r="HTZ129" s="3"/>
      <c r="HUA129" s="3"/>
      <c r="HUB129" s="3"/>
      <c r="HUC129" s="3"/>
      <c r="HUD129" s="3"/>
      <c r="HUE129" s="3"/>
      <c r="HUF129" s="3"/>
      <c r="HUG129" s="3"/>
      <c r="HUH129" s="3"/>
      <c r="HUI129" s="3"/>
      <c r="HUJ129" s="3"/>
      <c r="HUK129" s="3"/>
      <c r="HUL129" s="3"/>
      <c r="HUM129" s="3"/>
      <c r="HUN129" s="3"/>
      <c r="HUO129" s="3"/>
      <c r="HUP129" s="3"/>
      <c r="HUQ129" s="3"/>
      <c r="HUR129" s="3"/>
      <c r="HUS129" s="3"/>
      <c r="HUT129" s="3"/>
      <c r="HUU129" s="3"/>
      <c r="HUV129" s="3"/>
      <c r="HUW129" s="3"/>
      <c r="HUX129" s="3"/>
      <c r="HUY129" s="3"/>
      <c r="HUZ129" s="3"/>
      <c r="HVA129" s="3"/>
      <c r="HVB129" s="3"/>
      <c r="HVC129" s="3"/>
      <c r="HVD129" s="3"/>
      <c r="HVE129" s="3"/>
      <c r="HVF129" s="3"/>
      <c r="HVG129" s="3"/>
      <c r="HVH129" s="3"/>
      <c r="HVI129" s="3"/>
      <c r="HVJ129" s="3"/>
      <c r="HVK129" s="3"/>
      <c r="HVL129" s="3"/>
      <c r="HVM129" s="3"/>
      <c r="HVN129" s="3"/>
      <c r="HVO129" s="3"/>
      <c r="HVP129" s="3"/>
      <c r="HVQ129" s="3"/>
      <c r="HVR129" s="3"/>
      <c r="HVS129" s="3"/>
      <c r="HVT129" s="3"/>
      <c r="HVU129" s="3"/>
      <c r="HVV129" s="3"/>
      <c r="HVW129" s="3"/>
      <c r="HVX129" s="3"/>
      <c r="HVY129" s="3"/>
      <c r="HVZ129" s="3"/>
      <c r="HWA129" s="3"/>
      <c r="HWB129" s="3"/>
      <c r="HWC129" s="3"/>
      <c r="HWD129" s="3"/>
      <c r="HWE129" s="3"/>
      <c r="HWF129" s="3"/>
      <c r="HWG129" s="3"/>
      <c r="HWH129" s="3"/>
      <c r="HWI129" s="3"/>
      <c r="HWJ129" s="3"/>
      <c r="HWK129" s="3"/>
      <c r="HWL129" s="3"/>
      <c r="HWM129" s="3"/>
      <c r="HWN129" s="3"/>
      <c r="HWO129" s="3"/>
      <c r="HWP129" s="3"/>
      <c r="HWQ129" s="3"/>
      <c r="HWR129" s="3"/>
      <c r="HWS129" s="3"/>
      <c r="HWT129" s="3"/>
      <c r="HWU129" s="3"/>
      <c r="HWV129" s="3"/>
      <c r="HWW129" s="3"/>
      <c r="HWX129" s="3"/>
      <c r="HWY129" s="3"/>
      <c r="HWZ129" s="3"/>
      <c r="HXA129" s="3"/>
      <c r="HXB129" s="3"/>
      <c r="HXC129" s="3"/>
      <c r="HXD129" s="3"/>
      <c r="HXE129" s="3"/>
      <c r="HXF129" s="3"/>
      <c r="HXG129" s="3"/>
      <c r="HXH129" s="3"/>
      <c r="HXI129" s="3"/>
      <c r="HXJ129" s="3"/>
      <c r="HXK129" s="3"/>
      <c r="HXL129" s="3"/>
      <c r="HXM129" s="3"/>
      <c r="HXN129" s="3"/>
      <c r="HXO129" s="3"/>
      <c r="HXP129" s="3"/>
      <c r="HXQ129" s="3"/>
      <c r="HXR129" s="3"/>
      <c r="HXS129" s="3"/>
      <c r="HXT129" s="3"/>
      <c r="HXU129" s="3"/>
      <c r="HXV129" s="3"/>
      <c r="HXW129" s="3"/>
      <c r="HXX129" s="3"/>
      <c r="HXY129" s="3"/>
      <c r="HXZ129" s="3"/>
      <c r="HYA129" s="3"/>
      <c r="HYB129" s="3"/>
      <c r="HYC129" s="3"/>
      <c r="HYD129" s="3"/>
      <c r="HYE129" s="3"/>
      <c r="HYF129" s="3"/>
      <c r="HYG129" s="3"/>
      <c r="HYH129" s="3"/>
      <c r="HYI129" s="3"/>
      <c r="HYJ129" s="3"/>
      <c r="HYK129" s="3"/>
      <c r="HYL129" s="3"/>
      <c r="HYM129" s="3"/>
      <c r="HYN129" s="3"/>
      <c r="HYO129" s="3"/>
      <c r="HYP129" s="3"/>
      <c r="HYQ129" s="3"/>
      <c r="HYR129" s="3"/>
      <c r="HYS129" s="3"/>
      <c r="HYT129" s="3"/>
      <c r="HYU129" s="3"/>
      <c r="HYV129" s="3"/>
      <c r="HYW129" s="3"/>
      <c r="HYX129" s="3"/>
      <c r="HYY129" s="3"/>
      <c r="HYZ129" s="3"/>
      <c r="HZA129" s="3"/>
      <c r="HZB129" s="3"/>
      <c r="HZC129" s="3"/>
      <c r="HZD129" s="3"/>
      <c r="HZE129" s="3"/>
      <c r="HZF129" s="3"/>
      <c r="HZG129" s="3"/>
      <c r="HZH129" s="3"/>
      <c r="HZI129" s="3"/>
      <c r="HZJ129" s="3"/>
      <c r="HZK129" s="3"/>
      <c r="HZL129" s="3"/>
      <c r="HZM129" s="3"/>
      <c r="HZN129" s="3"/>
      <c r="HZO129" s="3"/>
      <c r="HZP129" s="3"/>
      <c r="HZQ129" s="3"/>
      <c r="HZR129" s="3"/>
      <c r="HZS129" s="3"/>
      <c r="HZT129" s="3"/>
      <c r="HZU129" s="3"/>
      <c r="HZV129" s="3"/>
      <c r="HZW129" s="3"/>
      <c r="HZX129" s="3"/>
      <c r="HZY129" s="3"/>
      <c r="HZZ129" s="3"/>
      <c r="IAA129" s="3"/>
      <c r="IAB129" s="3"/>
      <c r="IAC129" s="3"/>
      <c r="IAD129" s="3"/>
      <c r="IAE129" s="3"/>
      <c r="IAF129" s="3"/>
      <c r="IAG129" s="3"/>
      <c r="IAH129" s="3"/>
      <c r="IAI129" s="3"/>
      <c r="IAJ129" s="3"/>
      <c r="IAK129" s="3"/>
      <c r="IAL129" s="3"/>
      <c r="IAM129" s="3"/>
      <c r="IAN129" s="3"/>
      <c r="IAO129" s="3"/>
      <c r="IAP129" s="3"/>
      <c r="IAQ129" s="3"/>
      <c r="IAR129" s="3"/>
      <c r="IAS129" s="3"/>
      <c r="IAT129" s="3"/>
      <c r="IAU129" s="3"/>
      <c r="IAV129" s="3"/>
      <c r="IAW129" s="3"/>
      <c r="IAX129" s="3"/>
      <c r="IAY129" s="3"/>
      <c r="IAZ129" s="3"/>
      <c r="IBA129" s="3"/>
      <c r="IBB129" s="3"/>
      <c r="IBC129" s="3"/>
      <c r="IBD129" s="3"/>
      <c r="IBE129" s="3"/>
      <c r="IBF129" s="3"/>
      <c r="IBG129" s="3"/>
      <c r="IBH129" s="3"/>
      <c r="IBI129" s="3"/>
      <c r="IBJ129" s="3"/>
      <c r="IBK129" s="3"/>
      <c r="IBL129" s="3"/>
      <c r="IBM129" s="3"/>
      <c r="IBN129" s="3"/>
      <c r="IBO129" s="3"/>
      <c r="IBP129" s="3"/>
      <c r="IBQ129" s="3"/>
      <c r="IBR129" s="3"/>
      <c r="IBS129" s="3"/>
      <c r="IBT129" s="3"/>
      <c r="IBU129" s="3"/>
      <c r="IBV129" s="3"/>
      <c r="IBW129" s="3"/>
      <c r="IBX129" s="3"/>
      <c r="IBY129" s="3"/>
      <c r="IBZ129" s="3"/>
      <c r="ICA129" s="3"/>
      <c r="ICB129" s="3"/>
      <c r="ICC129" s="3"/>
      <c r="ICD129" s="3"/>
      <c r="ICE129" s="3"/>
      <c r="ICF129" s="3"/>
      <c r="ICG129" s="3"/>
      <c r="ICH129" s="3"/>
      <c r="ICI129" s="3"/>
      <c r="ICJ129" s="3"/>
      <c r="ICK129" s="3"/>
      <c r="ICL129" s="3"/>
      <c r="ICM129" s="3"/>
      <c r="ICN129" s="3"/>
      <c r="ICO129" s="3"/>
      <c r="ICP129" s="3"/>
      <c r="ICQ129" s="3"/>
      <c r="ICR129" s="3"/>
      <c r="ICS129" s="3"/>
      <c r="ICT129" s="3"/>
      <c r="ICU129" s="3"/>
      <c r="ICV129" s="3"/>
      <c r="ICW129" s="3"/>
      <c r="ICX129" s="3"/>
      <c r="ICY129" s="3"/>
      <c r="ICZ129" s="3"/>
      <c r="IDA129" s="3"/>
      <c r="IDB129" s="3"/>
      <c r="IDC129" s="3"/>
      <c r="IDD129" s="3"/>
      <c r="IDE129" s="3"/>
      <c r="IDF129" s="3"/>
      <c r="IDG129" s="3"/>
      <c r="IDH129" s="3"/>
      <c r="IDI129" s="3"/>
      <c r="IDJ129" s="3"/>
      <c r="IDK129" s="3"/>
      <c r="IDL129" s="3"/>
      <c r="IDM129" s="3"/>
      <c r="IDN129" s="3"/>
      <c r="IDO129" s="3"/>
      <c r="IDP129" s="3"/>
      <c r="IDQ129" s="3"/>
      <c r="IDR129" s="3"/>
      <c r="IDS129" s="3"/>
      <c r="IDT129" s="3"/>
      <c r="IDU129" s="3"/>
      <c r="IDV129" s="3"/>
      <c r="IDW129" s="3"/>
      <c r="IDX129" s="3"/>
      <c r="IDY129" s="3"/>
      <c r="IDZ129" s="3"/>
      <c r="IEA129" s="3"/>
      <c r="IEB129" s="3"/>
      <c r="IEC129" s="3"/>
      <c r="IED129" s="3"/>
      <c r="IEE129" s="3"/>
      <c r="IEF129" s="3"/>
      <c r="IEG129" s="3"/>
      <c r="IEH129" s="3"/>
      <c r="IEI129" s="3"/>
      <c r="IEJ129" s="3"/>
      <c r="IEK129" s="3"/>
      <c r="IEL129" s="3"/>
      <c r="IEM129" s="3"/>
      <c r="IEN129" s="3"/>
      <c r="IEO129" s="3"/>
      <c r="IEP129" s="3"/>
      <c r="IEQ129" s="3"/>
      <c r="IER129" s="3"/>
      <c r="IES129" s="3"/>
      <c r="IET129" s="3"/>
      <c r="IEU129" s="3"/>
      <c r="IEV129" s="3"/>
      <c r="IEW129" s="3"/>
      <c r="IEX129" s="3"/>
      <c r="IEY129" s="3"/>
      <c r="IEZ129" s="3"/>
      <c r="IFA129" s="3"/>
      <c r="IFB129" s="3"/>
      <c r="IFC129" s="3"/>
      <c r="IFD129" s="3"/>
      <c r="IFE129" s="3"/>
      <c r="IFF129" s="3"/>
      <c r="IFG129" s="3"/>
      <c r="IFH129" s="3"/>
      <c r="IFI129" s="3"/>
      <c r="IFJ129" s="3"/>
      <c r="IFK129" s="3"/>
      <c r="IFL129" s="3"/>
      <c r="IFM129" s="3"/>
      <c r="IFN129" s="3"/>
      <c r="IFO129" s="3"/>
      <c r="IFP129" s="3"/>
      <c r="IFQ129" s="3"/>
      <c r="IFR129" s="3"/>
      <c r="IFS129" s="3"/>
      <c r="IFT129" s="3"/>
      <c r="IFU129" s="3"/>
      <c r="IFV129" s="3"/>
      <c r="IFW129" s="3"/>
      <c r="IFX129" s="3"/>
      <c r="IFY129" s="3"/>
      <c r="IFZ129" s="3"/>
      <c r="IGA129" s="3"/>
      <c r="IGB129" s="3"/>
      <c r="IGC129" s="3"/>
      <c r="IGD129" s="3"/>
      <c r="IGE129" s="3"/>
      <c r="IGF129" s="3"/>
      <c r="IGG129" s="3"/>
      <c r="IGH129" s="3"/>
      <c r="IGI129" s="3"/>
      <c r="IGJ129" s="3"/>
      <c r="IGK129" s="3"/>
      <c r="IGL129" s="3"/>
      <c r="IGM129" s="3"/>
      <c r="IGN129" s="3"/>
      <c r="IGO129" s="3"/>
      <c r="IGP129" s="3"/>
      <c r="IGQ129" s="3"/>
      <c r="IGR129" s="3"/>
      <c r="IGS129" s="3"/>
      <c r="IGT129" s="3"/>
      <c r="IGU129" s="3"/>
      <c r="IGV129" s="3"/>
      <c r="IGW129" s="3"/>
      <c r="IGX129" s="3"/>
      <c r="IGY129" s="3"/>
      <c r="IGZ129" s="3"/>
      <c r="IHA129" s="3"/>
      <c r="IHB129" s="3"/>
      <c r="IHC129" s="3"/>
      <c r="IHD129" s="3"/>
      <c r="IHE129" s="3"/>
      <c r="IHF129" s="3"/>
      <c r="IHG129" s="3"/>
      <c r="IHH129" s="3"/>
      <c r="IHI129" s="3"/>
      <c r="IHJ129" s="3"/>
      <c r="IHK129" s="3"/>
      <c r="IHL129" s="3"/>
      <c r="IHM129" s="3"/>
      <c r="IHN129" s="3"/>
      <c r="IHO129" s="3"/>
      <c r="IHP129" s="3"/>
      <c r="IHQ129" s="3"/>
      <c r="IHR129" s="3"/>
      <c r="IHS129" s="3"/>
      <c r="IHT129" s="3"/>
      <c r="IHU129" s="3"/>
      <c r="IHV129" s="3"/>
      <c r="IHW129" s="3"/>
      <c r="IHX129" s="3"/>
      <c r="IHY129" s="3"/>
      <c r="IHZ129" s="3"/>
      <c r="IIA129" s="3"/>
      <c r="IIB129" s="3"/>
      <c r="IIC129" s="3"/>
      <c r="IID129" s="3"/>
      <c r="IIE129" s="3"/>
      <c r="IIF129" s="3"/>
      <c r="IIG129" s="3"/>
      <c r="IIH129" s="3"/>
      <c r="III129" s="3"/>
      <c r="IIJ129" s="3"/>
      <c r="IIK129" s="3"/>
      <c r="IIL129" s="3"/>
      <c r="IIM129" s="3"/>
      <c r="IIN129" s="3"/>
      <c r="IIO129" s="3"/>
      <c r="IIP129" s="3"/>
      <c r="IIQ129" s="3"/>
      <c r="IIR129" s="3"/>
      <c r="IIS129" s="3"/>
      <c r="IIT129" s="3"/>
      <c r="IIU129" s="3"/>
      <c r="IIV129" s="3"/>
      <c r="IIW129" s="3"/>
      <c r="IIX129" s="3"/>
      <c r="IIY129" s="3"/>
      <c r="IIZ129" s="3"/>
      <c r="IJA129" s="3"/>
      <c r="IJB129" s="3"/>
      <c r="IJC129" s="3"/>
      <c r="IJD129" s="3"/>
      <c r="IJE129" s="3"/>
      <c r="IJF129" s="3"/>
      <c r="IJG129" s="3"/>
      <c r="IJH129" s="3"/>
      <c r="IJI129" s="3"/>
      <c r="IJJ129" s="3"/>
      <c r="IJK129" s="3"/>
      <c r="IJL129" s="3"/>
      <c r="IJM129" s="3"/>
      <c r="IJN129" s="3"/>
      <c r="IJO129" s="3"/>
      <c r="IJP129" s="3"/>
      <c r="IJQ129" s="3"/>
      <c r="IJR129" s="3"/>
      <c r="IJS129" s="3"/>
      <c r="IJT129" s="3"/>
      <c r="IJU129" s="3"/>
      <c r="IJV129" s="3"/>
      <c r="IJW129" s="3"/>
      <c r="IJX129" s="3"/>
      <c r="IJY129" s="3"/>
      <c r="IJZ129" s="3"/>
      <c r="IKA129" s="3"/>
      <c r="IKB129" s="3"/>
      <c r="IKC129" s="3"/>
      <c r="IKD129" s="3"/>
      <c r="IKE129" s="3"/>
      <c r="IKF129" s="3"/>
      <c r="IKG129" s="3"/>
      <c r="IKH129" s="3"/>
      <c r="IKI129" s="3"/>
      <c r="IKJ129" s="3"/>
      <c r="IKK129" s="3"/>
      <c r="IKL129" s="3"/>
      <c r="IKM129" s="3"/>
      <c r="IKN129" s="3"/>
      <c r="IKO129" s="3"/>
      <c r="IKP129" s="3"/>
      <c r="IKQ129" s="3"/>
      <c r="IKR129" s="3"/>
      <c r="IKS129" s="3"/>
      <c r="IKT129" s="3"/>
      <c r="IKU129" s="3"/>
      <c r="IKV129" s="3"/>
      <c r="IKW129" s="3"/>
      <c r="IKX129" s="3"/>
      <c r="IKY129" s="3"/>
      <c r="IKZ129" s="3"/>
      <c r="ILA129" s="3"/>
      <c r="ILB129" s="3"/>
      <c r="ILC129" s="3"/>
      <c r="ILD129" s="3"/>
      <c r="ILE129" s="3"/>
      <c r="ILF129" s="3"/>
      <c r="ILG129" s="3"/>
      <c r="ILH129" s="3"/>
      <c r="ILI129" s="3"/>
      <c r="ILJ129" s="3"/>
      <c r="ILK129" s="3"/>
      <c r="ILL129" s="3"/>
      <c r="ILM129" s="3"/>
      <c r="ILN129" s="3"/>
      <c r="ILO129" s="3"/>
      <c r="ILP129" s="3"/>
      <c r="ILQ129" s="3"/>
      <c r="ILR129" s="3"/>
      <c r="ILS129" s="3"/>
      <c r="ILT129" s="3"/>
      <c r="ILU129" s="3"/>
      <c r="ILV129" s="3"/>
      <c r="ILW129" s="3"/>
      <c r="ILX129" s="3"/>
      <c r="ILY129" s="3"/>
      <c r="ILZ129" s="3"/>
      <c r="IMA129" s="3"/>
      <c r="IMB129" s="3"/>
      <c r="IMC129" s="3"/>
      <c r="IMD129" s="3"/>
      <c r="IME129" s="3"/>
      <c r="IMF129" s="3"/>
      <c r="IMG129" s="3"/>
      <c r="IMH129" s="3"/>
      <c r="IMI129" s="3"/>
      <c r="IMJ129" s="3"/>
      <c r="IMK129" s="3"/>
      <c r="IML129" s="3"/>
      <c r="IMM129" s="3"/>
      <c r="IMN129" s="3"/>
      <c r="IMO129" s="3"/>
      <c r="IMP129" s="3"/>
      <c r="IMQ129" s="3"/>
      <c r="IMR129" s="3"/>
      <c r="IMS129" s="3"/>
      <c r="IMT129" s="3"/>
      <c r="IMU129" s="3"/>
      <c r="IMV129" s="3"/>
      <c r="IMW129" s="3"/>
      <c r="IMX129" s="3"/>
      <c r="IMY129" s="3"/>
      <c r="IMZ129" s="3"/>
      <c r="INA129" s="3"/>
      <c r="INB129" s="3"/>
      <c r="INC129" s="3"/>
      <c r="IND129" s="3"/>
      <c r="INE129" s="3"/>
      <c r="INF129" s="3"/>
      <c r="ING129" s="3"/>
      <c r="INH129" s="3"/>
      <c r="INI129" s="3"/>
      <c r="INJ129" s="3"/>
      <c r="INK129" s="3"/>
      <c r="INL129" s="3"/>
      <c r="INM129" s="3"/>
      <c r="INN129" s="3"/>
      <c r="INO129" s="3"/>
      <c r="INP129" s="3"/>
      <c r="INQ129" s="3"/>
      <c r="INR129" s="3"/>
      <c r="INS129" s="3"/>
      <c r="INT129" s="3"/>
      <c r="INU129" s="3"/>
      <c r="INV129" s="3"/>
      <c r="INW129" s="3"/>
      <c r="INX129" s="3"/>
      <c r="INY129" s="3"/>
      <c r="INZ129" s="3"/>
      <c r="IOA129" s="3"/>
      <c r="IOB129" s="3"/>
      <c r="IOC129" s="3"/>
      <c r="IOD129" s="3"/>
      <c r="IOE129" s="3"/>
      <c r="IOF129" s="3"/>
      <c r="IOG129" s="3"/>
      <c r="IOH129" s="3"/>
      <c r="IOI129" s="3"/>
      <c r="IOJ129" s="3"/>
      <c r="IOK129" s="3"/>
      <c r="IOL129" s="3"/>
      <c r="IOM129" s="3"/>
      <c r="ION129" s="3"/>
      <c r="IOO129" s="3"/>
      <c r="IOP129" s="3"/>
      <c r="IOQ129" s="3"/>
      <c r="IOR129" s="3"/>
      <c r="IOS129" s="3"/>
      <c r="IOT129" s="3"/>
      <c r="IOU129" s="3"/>
      <c r="IOV129" s="3"/>
      <c r="IOW129" s="3"/>
      <c r="IOX129" s="3"/>
      <c r="IOY129" s="3"/>
      <c r="IOZ129" s="3"/>
      <c r="IPA129" s="3"/>
      <c r="IPB129" s="3"/>
      <c r="IPC129" s="3"/>
      <c r="IPD129" s="3"/>
      <c r="IPE129" s="3"/>
      <c r="IPF129" s="3"/>
      <c r="IPG129" s="3"/>
      <c r="IPH129" s="3"/>
      <c r="IPI129" s="3"/>
      <c r="IPJ129" s="3"/>
      <c r="IPK129" s="3"/>
      <c r="IPL129" s="3"/>
      <c r="IPM129" s="3"/>
      <c r="IPN129" s="3"/>
      <c r="IPO129" s="3"/>
      <c r="IPP129" s="3"/>
      <c r="IPQ129" s="3"/>
      <c r="IPR129" s="3"/>
      <c r="IPS129" s="3"/>
      <c r="IPT129" s="3"/>
      <c r="IPU129" s="3"/>
      <c r="IPV129" s="3"/>
      <c r="IPW129" s="3"/>
      <c r="IPX129" s="3"/>
      <c r="IPY129" s="3"/>
      <c r="IPZ129" s="3"/>
      <c r="IQA129" s="3"/>
      <c r="IQB129" s="3"/>
      <c r="IQC129" s="3"/>
      <c r="IQD129" s="3"/>
      <c r="IQE129" s="3"/>
      <c r="IQF129" s="3"/>
      <c r="IQG129" s="3"/>
      <c r="IQH129" s="3"/>
      <c r="IQI129" s="3"/>
      <c r="IQJ129" s="3"/>
      <c r="IQK129" s="3"/>
      <c r="IQL129" s="3"/>
      <c r="IQM129" s="3"/>
      <c r="IQN129" s="3"/>
      <c r="IQO129" s="3"/>
      <c r="IQP129" s="3"/>
      <c r="IQQ129" s="3"/>
      <c r="IQR129" s="3"/>
      <c r="IQS129" s="3"/>
      <c r="IQT129" s="3"/>
      <c r="IQU129" s="3"/>
      <c r="IQV129" s="3"/>
      <c r="IQW129" s="3"/>
      <c r="IQX129" s="3"/>
      <c r="IQY129" s="3"/>
      <c r="IQZ129" s="3"/>
      <c r="IRA129" s="3"/>
      <c r="IRB129" s="3"/>
      <c r="IRC129" s="3"/>
      <c r="IRD129" s="3"/>
      <c r="IRE129" s="3"/>
      <c r="IRF129" s="3"/>
      <c r="IRG129" s="3"/>
      <c r="IRH129" s="3"/>
      <c r="IRI129" s="3"/>
      <c r="IRJ129" s="3"/>
      <c r="IRK129" s="3"/>
      <c r="IRL129" s="3"/>
      <c r="IRM129" s="3"/>
      <c r="IRN129" s="3"/>
      <c r="IRO129" s="3"/>
      <c r="IRP129" s="3"/>
      <c r="IRQ129" s="3"/>
      <c r="IRR129" s="3"/>
      <c r="IRS129" s="3"/>
      <c r="IRT129" s="3"/>
      <c r="IRU129" s="3"/>
      <c r="IRV129" s="3"/>
      <c r="IRW129" s="3"/>
      <c r="IRX129" s="3"/>
      <c r="IRY129" s="3"/>
      <c r="IRZ129" s="3"/>
      <c r="ISA129" s="3"/>
      <c r="ISB129" s="3"/>
      <c r="ISC129" s="3"/>
      <c r="ISD129" s="3"/>
      <c r="ISE129" s="3"/>
      <c r="ISF129" s="3"/>
      <c r="ISG129" s="3"/>
      <c r="ISH129" s="3"/>
      <c r="ISI129" s="3"/>
      <c r="ISJ129" s="3"/>
      <c r="ISK129" s="3"/>
      <c r="ISL129" s="3"/>
      <c r="ISM129" s="3"/>
      <c r="ISN129" s="3"/>
      <c r="ISO129" s="3"/>
      <c r="ISP129" s="3"/>
      <c r="ISQ129" s="3"/>
      <c r="ISR129" s="3"/>
      <c r="ISS129" s="3"/>
      <c r="IST129" s="3"/>
      <c r="ISU129" s="3"/>
      <c r="ISV129" s="3"/>
      <c r="ISW129" s="3"/>
      <c r="ISX129" s="3"/>
      <c r="ISY129" s="3"/>
      <c r="ISZ129" s="3"/>
      <c r="ITA129" s="3"/>
      <c r="ITB129" s="3"/>
      <c r="ITC129" s="3"/>
      <c r="ITD129" s="3"/>
      <c r="ITE129" s="3"/>
      <c r="ITF129" s="3"/>
      <c r="ITG129" s="3"/>
      <c r="ITH129" s="3"/>
      <c r="ITI129" s="3"/>
      <c r="ITJ129" s="3"/>
      <c r="ITK129" s="3"/>
      <c r="ITL129" s="3"/>
      <c r="ITM129" s="3"/>
      <c r="ITN129" s="3"/>
      <c r="ITO129" s="3"/>
      <c r="ITP129" s="3"/>
      <c r="ITQ129" s="3"/>
      <c r="ITR129" s="3"/>
      <c r="ITS129" s="3"/>
      <c r="ITT129" s="3"/>
      <c r="ITU129" s="3"/>
      <c r="ITV129" s="3"/>
      <c r="ITW129" s="3"/>
      <c r="ITX129" s="3"/>
      <c r="ITY129" s="3"/>
      <c r="ITZ129" s="3"/>
      <c r="IUA129" s="3"/>
      <c r="IUB129" s="3"/>
      <c r="IUC129" s="3"/>
      <c r="IUD129" s="3"/>
      <c r="IUE129" s="3"/>
      <c r="IUF129" s="3"/>
      <c r="IUG129" s="3"/>
      <c r="IUH129" s="3"/>
      <c r="IUI129" s="3"/>
      <c r="IUJ129" s="3"/>
      <c r="IUK129" s="3"/>
      <c r="IUL129" s="3"/>
      <c r="IUM129" s="3"/>
      <c r="IUN129" s="3"/>
      <c r="IUO129" s="3"/>
      <c r="IUP129" s="3"/>
      <c r="IUQ129" s="3"/>
      <c r="IUR129" s="3"/>
      <c r="IUS129" s="3"/>
      <c r="IUT129" s="3"/>
      <c r="IUU129" s="3"/>
      <c r="IUV129" s="3"/>
      <c r="IUW129" s="3"/>
      <c r="IUX129" s="3"/>
      <c r="IUY129" s="3"/>
      <c r="IUZ129" s="3"/>
      <c r="IVA129" s="3"/>
      <c r="IVB129" s="3"/>
      <c r="IVC129" s="3"/>
      <c r="IVD129" s="3"/>
      <c r="IVE129" s="3"/>
      <c r="IVF129" s="3"/>
      <c r="IVG129" s="3"/>
      <c r="IVH129" s="3"/>
      <c r="IVI129" s="3"/>
      <c r="IVJ129" s="3"/>
      <c r="IVK129" s="3"/>
      <c r="IVL129" s="3"/>
      <c r="IVM129" s="3"/>
      <c r="IVN129" s="3"/>
      <c r="IVO129" s="3"/>
      <c r="IVP129" s="3"/>
      <c r="IVQ129" s="3"/>
      <c r="IVR129" s="3"/>
      <c r="IVS129" s="3"/>
      <c r="IVT129" s="3"/>
      <c r="IVU129" s="3"/>
      <c r="IVV129" s="3"/>
      <c r="IVW129" s="3"/>
      <c r="IVX129" s="3"/>
      <c r="IVY129" s="3"/>
      <c r="IVZ129" s="3"/>
      <c r="IWA129" s="3"/>
      <c r="IWB129" s="3"/>
      <c r="IWC129" s="3"/>
      <c r="IWD129" s="3"/>
      <c r="IWE129" s="3"/>
      <c r="IWF129" s="3"/>
      <c r="IWG129" s="3"/>
      <c r="IWH129" s="3"/>
      <c r="IWI129" s="3"/>
      <c r="IWJ129" s="3"/>
      <c r="IWK129" s="3"/>
      <c r="IWL129" s="3"/>
      <c r="IWM129" s="3"/>
      <c r="IWN129" s="3"/>
      <c r="IWO129" s="3"/>
      <c r="IWP129" s="3"/>
      <c r="IWQ129" s="3"/>
      <c r="IWR129" s="3"/>
      <c r="IWS129" s="3"/>
      <c r="IWT129" s="3"/>
      <c r="IWU129" s="3"/>
      <c r="IWV129" s="3"/>
      <c r="IWW129" s="3"/>
      <c r="IWX129" s="3"/>
      <c r="IWY129" s="3"/>
      <c r="IWZ129" s="3"/>
      <c r="IXA129" s="3"/>
      <c r="IXB129" s="3"/>
      <c r="IXC129" s="3"/>
      <c r="IXD129" s="3"/>
      <c r="IXE129" s="3"/>
      <c r="IXF129" s="3"/>
      <c r="IXG129" s="3"/>
      <c r="IXH129" s="3"/>
      <c r="IXI129" s="3"/>
      <c r="IXJ129" s="3"/>
      <c r="IXK129" s="3"/>
      <c r="IXL129" s="3"/>
      <c r="IXM129" s="3"/>
      <c r="IXN129" s="3"/>
      <c r="IXO129" s="3"/>
      <c r="IXP129" s="3"/>
      <c r="IXQ129" s="3"/>
      <c r="IXR129" s="3"/>
      <c r="IXS129" s="3"/>
      <c r="IXT129" s="3"/>
      <c r="IXU129" s="3"/>
      <c r="IXV129" s="3"/>
      <c r="IXW129" s="3"/>
      <c r="IXX129" s="3"/>
      <c r="IXY129" s="3"/>
      <c r="IXZ129" s="3"/>
      <c r="IYA129" s="3"/>
      <c r="IYB129" s="3"/>
      <c r="IYC129" s="3"/>
      <c r="IYD129" s="3"/>
      <c r="IYE129" s="3"/>
      <c r="IYF129" s="3"/>
      <c r="IYG129" s="3"/>
      <c r="IYH129" s="3"/>
      <c r="IYI129" s="3"/>
      <c r="IYJ129" s="3"/>
      <c r="IYK129" s="3"/>
      <c r="IYL129" s="3"/>
      <c r="IYM129" s="3"/>
      <c r="IYN129" s="3"/>
      <c r="IYO129" s="3"/>
      <c r="IYP129" s="3"/>
      <c r="IYQ129" s="3"/>
      <c r="IYR129" s="3"/>
      <c r="IYS129" s="3"/>
      <c r="IYT129" s="3"/>
      <c r="IYU129" s="3"/>
      <c r="IYV129" s="3"/>
      <c r="IYW129" s="3"/>
      <c r="IYX129" s="3"/>
      <c r="IYY129" s="3"/>
      <c r="IYZ129" s="3"/>
      <c r="IZA129" s="3"/>
      <c r="IZB129" s="3"/>
      <c r="IZC129" s="3"/>
      <c r="IZD129" s="3"/>
      <c r="IZE129" s="3"/>
      <c r="IZF129" s="3"/>
      <c r="IZG129" s="3"/>
      <c r="IZH129" s="3"/>
      <c r="IZI129" s="3"/>
      <c r="IZJ129" s="3"/>
      <c r="IZK129" s="3"/>
      <c r="IZL129" s="3"/>
      <c r="IZM129" s="3"/>
      <c r="IZN129" s="3"/>
      <c r="IZO129" s="3"/>
      <c r="IZP129" s="3"/>
      <c r="IZQ129" s="3"/>
      <c r="IZR129" s="3"/>
      <c r="IZS129" s="3"/>
      <c r="IZT129" s="3"/>
      <c r="IZU129" s="3"/>
      <c r="IZV129" s="3"/>
      <c r="IZW129" s="3"/>
      <c r="IZX129" s="3"/>
      <c r="IZY129" s="3"/>
      <c r="IZZ129" s="3"/>
      <c r="JAA129" s="3"/>
      <c r="JAB129" s="3"/>
      <c r="JAC129" s="3"/>
      <c r="JAD129" s="3"/>
      <c r="JAE129" s="3"/>
      <c r="JAF129" s="3"/>
      <c r="JAG129" s="3"/>
      <c r="JAH129" s="3"/>
      <c r="JAI129" s="3"/>
      <c r="JAJ129" s="3"/>
      <c r="JAK129" s="3"/>
      <c r="JAL129" s="3"/>
      <c r="JAM129" s="3"/>
      <c r="JAN129" s="3"/>
      <c r="JAO129" s="3"/>
      <c r="JAP129" s="3"/>
      <c r="JAQ129" s="3"/>
      <c r="JAR129" s="3"/>
      <c r="JAS129" s="3"/>
      <c r="JAT129" s="3"/>
      <c r="JAU129" s="3"/>
      <c r="JAV129" s="3"/>
      <c r="JAW129" s="3"/>
      <c r="JAX129" s="3"/>
      <c r="JAY129" s="3"/>
      <c r="JAZ129" s="3"/>
      <c r="JBA129" s="3"/>
      <c r="JBB129" s="3"/>
      <c r="JBC129" s="3"/>
      <c r="JBD129" s="3"/>
      <c r="JBE129" s="3"/>
      <c r="JBF129" s="3"/>
      <c r="JBG129" s="3"/>
      <c r="JBH129" s="3"/>
      <c r="JBI129" s="3"/>
      <c r="JBJ129" s="3"/>
      <c r="JBK129" s="3"/>
      <c r="JBL129" s="3"/>
      <c r="JBM129" s="3"/>
      <c r="JBN129" s="3"/>
      <c r="JBO129" s="3"/>
      <c r="JBP129" s="3"/>
      <c r="JBQ129" s="3"/>
      <c r="JBR129" s="3"/>
      <c r="JBS129" s="3"/>
      <c r="JBT129" s="3"/>
      <c r="JBU129" s="3"/>
      <c r="JBV129" s="3"/>
      <c r="JBW129" s="3"/>
      <c r="JBX129" s="3"/>
      <c r="JBY129" s="3"/>
      <c r="JBZ129" s="3"/>
      <c r="JCA129" s="3"/>
      <c r="JCB129" s="3"/>
      <c r="JCC129" s="3"/>
      <c r="JCD129" s="3"/>
      <c r="JCE129" s="3"/>
      <c r="JCF129" s="3"/>
      <c r="JCG129" s="3"/>
      <c r="JCH129" s="3"/>
      <c r="JCI129" s="3"/>
      <c r="JCJ129" s="3"/>
      <c r="JCK129" s="3"/>
      <c r="JCL129" s="3"/>
      <c r="JCM129" s="3"/>
      <c r="JCN129" s="3"/>
      <c r="JCO129" s="3"/>
      <c r="JCP129" s="3"/>
      <c r="JCQ129" s="3"/>
      <c r="JCR129" s="3"/>
      <c r="JCS129" s="3"/>
      <c r="JCT129" s="3"/>
      <c r="JCU129" s="3"/>
      <c r="JCV129" s="3"/>
      <c r="JCW129" s="3"/>
      <c r="JCX129" s="3"/>
      <c r="JCY129" s="3"/>
      <c r="JCZ129" s="3"/>
      <c r="JDA129" s="3"/>
      <c r="JDB129" s="3"/>
      <c r="JDC129" s="3"/>
      <c r="JDD129" s="3"/>
      <c r="JDE129" s="3"/>
      <c r="JDF129" s="3"/>
      <c r="JDG129" s="3"/>
      <c r="JDH129" s="3"/>
      <c r="JDI129" s="3"/>
      <c r="JDJ129" s="3"/>
      <c r="JDK129" s="3"/>
      <c r="JDL129" s="3"/>
      <c r="JDM129" s="3"/>
      <c r="JDN129" s="3"/>
      <c r="JDO129" s="3"/>
      <c r="JDP129" s="3"/>
      <c r="JDQ129" s="3"/>
      <c r="JDR129" s="3"/>
      <c r="JDS129" s="3"/>
      <c r="JDT129" s="3"/>
      <c r="JDU129" s="3"/>
      <c r="JDV129" s="3"/>
      <c r="JDW129" s="3"/>
      <c r="JDX129" s="3"/>
      <c r="JDY129" s="3"/>
      <c r="JDZ129" s="3"/>
      <c r="JEA129" s="3"/>
      <c r="JEB129" s="3"/>
      <c r="JEC129" s="3"/>
      <c r="JED129" s="3"/>
      <c r="JEE129" s="3"/>
      <c r="JEF129" s="3"/>
      <c r="JEG129" s="3"/>
      <c r="JEH129" s="3"/>
      <c r="JEI129" s="3"/>
      <c r="JEJ129" s="3"/>
      <c r="JEK129" s="3"/>
      <c r="JEL129" s="3"/>
      <c r="JEM129" s="3"/>
      <c r="JEN129" s="3"/>
      <c r="JEO129" s="3"/>
      <c r="JEP129" s="3"/>
      <c r="JEQ129" s="3"/>
      <c r="JER129" s="3"/>
      <c r="JES129" s="3"/>
      <c r="JET129" s="3"/>
      <c r="JEU129" s="3"/>
      <c r="JEV129" s="3"/>
      <c r="JEW129" s="3"/>
      <c r="JEX129" s="3"/>
      <c r="JEY129" s="3"/>
      <c r="JEZ129" s="3"/>
      <c r="JFA129" s="3"/>
      <c r="JFB129" s="3"/>
      <c r="JFC129" s="3"/>
      <c r="JFD129" s="3"/>
      <c r="JFE129" s="3"/>
      <c r="JFF129" s="3"/>
      <c r="JFG129" s="3"/>
      <c r="JFH129" s="3"/>
      <c r="JFI129" s="3"/>
      <c r="JFJ129" s="3"/>
      <c r="JFK129" s="3"/>
      <c r="JFL129" s="3"/>
      <c r="JFM129" s="3"/>
      <c r="JFN129" s="3"/>
      <c r="JFO129" s="3"/>
      <c r="JFP129" s="3"/>
      <c r="JFQ129" s="3"/>
      <c r="JFR129" s="3"/>
      <c r="JFS129" s="3"/>
      <c r="JFT129" s="3"/>
      <c r="JFU129" s="3"/>
      <c r="JFV129" s="3"/>
      <c r="JFW129" s="3"/>
      <c r="JFX129" s="3"/>
      <c r="JFY129" s="3"/>
      <c r="JFZ129" s="3"/>
      <c r="JGA129" s="3"/>
      <c r="JGB129" s="3"/>
      <c r="JGC129" s="3"/>
      <c r="JGD129" s="3"/>
      <c r="JGE129" s="3"/>
      <c r="JGF129" s="3"/>
      <c r="JGG129" s="3"/>
      <c r="JGH129" s="3"/>
      <c r="JGI129" s="3"/>
      <c r="JGJ129" s="3"/>
      <c r="JGK129" s="3"/>
      <c r="JGL129" s="3"/>
      <c r="JGM129" s="3"/>
      <c r="JGN129" s="3"/>
      <c r="JGO129" s="3"/>
      <c r="JGP129" s="3"/>
      <c r="JGQ129" s="3"/>
      <c r="JGR129" s="3"/>
      <c r="JGS129" s="3"/>
      <c r="JGT129" s="3"/>
      <c r="JGU129" s="3"/>
      <c r="JGV129" s="3"/>
      <c r="JGW129" s="3"/>
      <c r="JGX129" s="3"/>
      <c r="JGY129" s="3"/>
      <c r="JGZ129" s="3"/>
      <c r="JHA129" s="3"/>
      <c r="JHB129" s="3"/>
      <c r="JHC129" s="3"/>
      <c r="JHD129" s="3"/>
      <c r="JHE129" s="3"/>
      <c r="JHF129" s="3"/>
      <c r="JHG129" s="3"/>
      <c r="JHH129" s="3"/>
      <c r="JHI129" s="3"/>
      <c r="JHJ129" s="3"/>
      <c r="JHK129" s="3"/>
      <c r="JHL129" s="3"/>
      <c r="JHM129" s="3"/>
      <c r="JHN129" s="3"/>
      <c r="JHO129" s="3"/>
      <c r="JHP129" s="3"/>
      <c r="JHQ129" s="3"/>
      <c r="JHR129" s="3"/>
      <c r="JHS129" s="3"/>
      <c r="JHT129" s="3"/>
      <c r="JHU129" s="3"/>
      <c r="JHV129" s="3"/>
      <c r="JHW129" s="3"/>
      <c r="JHX129" s="3"/>
      <c r="JHY129" s="3"/>
      <c r="JHZ129" s="3"/>
      <c r="JIA129" s="3"/>
      <c r="JIB129" s="3"/>
      <c r="JIC129" s="3"/>
      <c r="JID129" s="3"/>
      <c r="JIE129" s="3"/>
      <c r="JIF129" s="3"/>
      <c r="JIG129" s="3"/>
      <c r="JIH129" s="3"/>
      <c r="JII129" s="3"/>
      <c r="JIJ129" s="3"/>
      <c r="JIK129" s="3"/>
      <c r="JIL129" s="3"/>
      <c r="JIM129" s="3"/>
      <c r="JIN129" s="3"/>
      <c r="JIO129" s="3"/>
      <c r="JIP129" s="3"/>
      <c r="JIQ129" s="3"/>
      <c r="JIR129" s="3"/>
      <c r="JIS129" s="3"/>
      <c r="JIT129" s="3"/>
      <c r="JIU129" s="3"/>
      <c r="JIV129" s="3"/>
      <c r="JIW129" s="3"/>
      <c r="JIX129" s="3"/>
      <c r="JIY129" s="3"/>
      <c r="JIZ129" s="3"/>
      <c r="JJA129" s="3"/>
      <c r="JJB129" s="3"/>
      <c r="JJC129" s="3"/>
      <c r="JJD129" s="3"/>
      <c r="JJE129" s="3"/>
      <c r="JJF129" s="3"/>
      <c r="JJG129" s="3"/>
      <c r="JJH129" s="3"/>
      <c r="JJI129" s="3"/>
      <c r="JJJ129" s="3"/>
      <c r="JJK129" s="3"/>
      <c r="JJL129" s="3"/>
      <c r="JJM129" s="3"/>
      <c r="JJN129" s="3"/>
      <c r="JJO129" s="3"/>
      <c r="JJP129" s="3"/>
      <c r="JJQ129" s="3"/>
      <c r="JJR129" s="3"/>
      <c r="JJS129" s="3"/>
      <c r="JJT129" s="3"/>
      <c r="JJU129" s="3"/>
      <c r="JJV129" s="3"/>
      <c r="JJW129" s="3"/>
      <c r="JJX129" s="3"/>
      <c r="JJY129" s="3"/>
      <c r="JJZ129" s="3"/>
      <c r="JKA129" s="3"/>
      <c r="JKB129" s="3"/>
      <c r="JKC129" s="3"/>
      <c r="JKD129" s="3"/>
      <c r="JKE129" s="3"/>
      <c r="JKF129" s="3"/>
      <c r="JKG129" s="3"/>
      <c r="JKH129" s="3"/>
      <c r="JKI129" s="3"/>
      <c r="JKJ129" s="3"/>
      <c r="JKK129" s="3"/>
      <c r="JKL129" s="3"/>
      <c r="JKM129" s="3"/>
      <c r="JKN129" s="3"/>
      <c r="JKO129" s="3"/>
      <c r="JKP129" s="3"/>
      <c r="JKQ129" s="3"/>
      <c r="JKR129" s="3"/>
      <c r="JKS129" s="3"/>
      <c r="JKT129" s="3"/>
      <c r="JKU129" s="3"/>
      <c r="JKV129" s="3"/>
      <c r="JKW129" s="3"/>
      <c r="JKX129" s="3"/>
      <c r="JKY129" s="3"/>
      <c r="JKZ129" s="3"/>
      <c r="JLA129" s="3"/>
      <c r="JLB129" s="3"/>
      <c r="JLC129" s="3"/>
      <c r="JLD129" s="3"/>
      <c r="JLE129" s="3"/>
      <c r="JLF129" s="3"/>
      <c r="JLG129" s="3"/>
      <c r="JLH129" s="3"/>
      <c r="JLI129" s="3"/>
      <c r="JLJ129" s="3"/>
      <c r="JLK129" s="3"/>
      <c r="JLL129" s="3"/>
      <c r="JLM129" s="3"/>
      <c r="JLN129" s="3"/>
      <c r="JLO129" s="3"/>
      <c r="JLP129" s="3"/>
      <c r="JLQ129" s="3"/>
      <c r="JLR129" s="3"/>
      <c r="JLS129" s="3"/>
      <c r="JLT129" s="3"/>
      <c r="JLU129" s="3"/>
      <c r="JLV129" s="3"/>
      <c r="JLW129" s="3"/>
      <c r="JLX129" s="3"/>
      <c r="JLY129" s="3"/>
      <c r="JLZ129" s="3"/>
      <c r="JMA129" s="3"/>
      <c r="JMB129" s="3"/>
      <c r="JMC129" s="3"/>
      <c r="JMD129" s="3"/>
      <c r="JME129" s="3"/>
      <c r="JMF129" s="3"/>
      <c r="JMG129" s="3"/>
      <c r="JMH129" s="3"/>
      <c r="JMI129" s="3"/>
      <c r="JMJ129" s="3"/>
      <c r="JMK129" s="3"/>
      <c r="JML129" s="3"/>
      <c r="JMM129" s="3"/>
      <c r="JMN129" s="3"/>
      <c r="JMO129" s="3"/>
      <c r="JMP129" s="3"/>
      <c r="JMQ129" s="3"/>
      <c r="JMR129" s="3"/>
      <c r="JMS129" s="3"/>
      <c r="JMT129" s="3"/>
      <c r="JMU129" s="3"/>
      <c r="JMV129" s="3"/>
      <c r="JMW129" s="3"/>
      <c r="JMX129" s="3"/>
      <c r="JMY129" s="3"/>
      <c r="JMZ129" s="3"/>
      <c r="JNA129" s="3"/>
      <c r="JNB129" s="3"/>
      <c r="JNC129" s="3"/>
      <c r="JND129" s="3"/>
      <c r="JNE129" s="3"/>
      <c r="JNF129" s="3"/>
      <c r="JNG129" s="3"/>
      <c r="JNH129" s="3"/>
      <c r="JNI129" s="3"/>
      <c r="JNJ129" s="3"/>
      <c r="JNK129" s="3"/>
      <c r="JNL129" s="3"/>
      <c r="JNM129" s="3"/>
      <c r="JNN129" s="3"/>
      <c r="JNO129" s="3"/>
      <c r="JNP129" s="3"/>
      <c r="JNQ129" s="3"/>
      <c r="JNR129" s="3"/>
      <c r="JNS129" s="3"/>
      <c r="JNT129" s="3"/>
      <c r="JNU129" s="3"/>
      <c r="JNV129" s="3"/>
      <c r="JNW129" s="3"/>
      <c r="JNX129" s="3"/>
      <c r="JNY129" s="3"/>
      <c r="JNZ129" s="3"/>
      <c r="JOA129" s="3"/>
      <c r="JOB129" s="3"/>
      <c r="JOC129" s="3"/>
      <c r="JOD129" s="3"/>
      <c r="JOE129" s="3"/>
      <c r="JOF129" s="3"/>
      <c r="JOG129" s="3"/>
      <c r="JOH129" s="3"/>
      <c r="JOI129" s="3"/>
      <c r="JOJ129" s="3"/>
      <c r="JOK129" s="3"/>
      <c r="JOL129" s="3"/>
      <c r="JOM129" s="3"/>
      <c r="JON129" s="3"/>
      <c r="JOO129" s="3"/>
      <c r="JOP129" s="3"/>
      <c r="JOQ129" s="3"/>
      <c r="JOR129" s="3"/>
      <c r="JOS129" s="3"/>
      <c r="JOT129" s="3"/>
      <c r="JOU129" s="3"/>
      <c r="JOV129" s="3"/>
      <c r="JOW129" s="3"/>
      <c r="JOX129" s="3"/>
      <c r="JOY129" s="3"/>
      <c r="JOZ129" s="3"/>
      <c r="JPA129" s="3"/>
      <c r="JPB129" s="3"/>
      <c r="JPC129" s="3"/>
      <c r="JPD129" s="3"/>
      <c r="JPE129" s="3"/>
      <c r="JPF129" s="3"/>
      <c r="JPG129" s="3"/>
      <c r="JPH129" s="3"/>
      <c r="JPI129" s="3"/>
      <c r="JPJ129" s="3"/>
      <c r="JPK129" s="3"/>
      <c r="JPL129" s="3"/>
      <c r="JPM129" s="3"/>
      <c r="JPN129" s="3"/>
      <c r="JPO129" s="3"/>
      <c r="JPP129" s="3"/>
      <c r="JPQ129" s="3"/>
      <c r="JPR129" s="3"/>
      <c r="JPS129" s="3"/>
      <c r="JPT129" s="3"/>
      <c r="JPU129" s="3"/>
      <c r="JPV129" s="3"/>
      <c r="JPW129" s="3"/>
      <c r="JPX129" s="3"/>
      <c r="JPY129" s="3"/>
      <c r="JPZ129" s="3"/>
      <c r="JQA129" s="3"/>
      <c r="JQB129" s="3"/>
      <c r="JQC129" s="3"/>
      <c r="JQD129" s="3"/>
      <c r="JQE129" s="3"/>
      <c r="JQF129" s="3"/>
      <c r="JQG129" s="3"/>
      <c r="JQH129" s="3"/>
      <c r="JQI129" s="3"/>
      <c r="JQJ129" s="3"/>
      <c r="JQK129" s="3"/>
      <c r="JQL129" s="3"/>
      <c r="JQM129" s="3"/>
      <c r="JQN129" s="3"/>
      <c r="JQO129" s="3"/>
      <c r="JQP129" s="3"/>
      <c r="JQQ129" s="3"/>
      <c r="JQR129" s="3"/>
      <c r="JQS129" s="3"/>
      <c r="JQT129" s="3"/>
      <c r="JQU129" s="3"/>
      <c r="JQV129" s="3"/>
      <c r="JQW129" s="3"/>
      <c r="JQX129" s="3"/>
      <c r="JQY129" s="3"/>
      <c r="JQZ129" s="3"/>
      <c r="JRA129" s="3"/>
      <c r="JRB129" s="3"/>
      <c r="JRC129" s="3"/>
      <c r="JRD129" s="3"/>
      <c r="JRE129" s="3"/>
      <c r="JRF129" s="3"/>
      <c r="JRG129" s="3"/>
      <c r="JRH129" s="3"/>
      <c r="JRI129" s="3"/>
      <c r="JRJ129" s="3"/>
      <c r="JRK129" s="3"/>
      <c r="JRL129" s="3"/>
      <c r="JRM129" s="3"/>
      <c r="JRN129" s="3"/>
      <c r="JRO129" s="3"/>
      <c r="JRP129" s="3"/>
      <c r="JRQ129" s="3"/>
      <c r="JRR129" s="3"/>
      <c r="JRS129" s="3"/>
      <c r="JRT129" s="3"/>
      <c r="JRU129" s="3"/>
      <c r="JRV129" s="3"/>
      <c r="JRW129" s="3"/>
      <c r="JRX129" s="3"/>
      <c r="JRY129" s="3"/>
      <c r="JRZ129" s="3"/>
      <c r="JSA129" s="3"/>
      <c r="JSB129" s="3"/>
      <c r="JSC129" s="3"/>
      <c r="JSD129" s="3"/>
      <c r="JSE129" s="3"/>
      <c r="JSF129" s="3"/>
      <c r="JSG129" s="3"/>
      <c r="JSH129" s="3"/>
      <c r="JSI129" s="3"/>
      <c r="JSJ129" s="3"/>
      <c r="JSK129" s="3"/>
      <c r="JSL129" s="3"/>
      <c r="JSM129" s="3"/>
      <c r="JSN129" s="3"/>
      <c r="JSO129" s="3"/>
      <c r="JSP129" s="3"/>
      <c r="JSQ129" s="3"/>
      <c r="JSR129" s="3"/>
      <c r="JSS129" s="3"/>
      <c r="JST129" s="3"/>
      <c r="JSU129" s="3"/>
      <c r="JSV129" s="3"/>
      <c r="JSW129" s="3"/>
      <c r="JSX129" s="3"/>
      <c r="JSY129" s="3"/>
      <c r="JSZ129" s="3"/>
      <c r="JTA129" s="3"/>
      <c r="JTB129" s="3"/>
      <c r="JTC129" s="3"/>
      <c r="JTD129" s="3"/>
      <c r="JTE129" s="3"/>
      <c r="JTF129" s="3"/>
      <c r="JTG129" s="3"/>
      <c r="JTH129" s="3"/>
      <c r="JTI129" s="3"/>
      <c r="JTJ129" s="3"/>
      <c r="JTK129" s="3"/>
      <c r="JTL129" s="3"/>
      <c r="JTM129" s="3"/>
      <c r="JTN129" s="3"/>
      <c r="JTO129" s="3"/>
      <c r="JTP129" s="3"/>
      <c r="JTQ129" s="3"/>
      <c r="JTR129" s="3"/>
      <c r="JTS129" s="3"/>
      <c r="JTT129" s="3"/>
      <c r="JTU129" s="3"/>
      <c r="JTV129" s="3"/>
      <c r="JTW129" s="3"/>
      <c r="JTX129" s="3"/>
      <c r="JTY129" s="3"/>
      <c r="JTZ129" s="3"/>
      <c r="JUA129" s="3"/>
      <c r="JUB129" s="3"/>
      <c r="JUC129" s="3"/>
      <c r="JUD129" s="3"/>
      <c r="JUE129" s="3"/>
      <c r="JUF129" s="3"/>
      <c r="JUG129" s="3"/>
      <c r="JUH129" s="3"/>
      <c r="JUI129" s="3"/>
      <c r="JUJ129" s="3"/>
      <c r="JUK129" s="3"/>
      <c r="JUL129" s="3"/>
      <c r="JUM129" s="3"/>
      <c r="JUN129" s="3"/>
      <c r="JUO129" s="3"/>
      <c r="JUP129" s="3"/>
      <c r="JUQ129" s="3"/>
      <c r="JUR129" s="3"/>
      <c r="JUS129" s="3"/>
      <c r="JUT129" s="3"/>
      <c r="JUU129" s="3"/>
      <c r="JUV129" s="3"/>
      <c r="JUW129" s="3"/>
      <c r="JUX129" s="3"/>
      <c r="JUY129" s="3"/>
      <c r="JUZ129" s="3"/>
      <c r="JVA129" s="3"/>
      <c r="JVB129" s="3"/>
      <c r="JVC129" s="3"/>
      <c r="JVD129" s="3"/>
      <c r="JVE129" s="3"/>
      <c r="JVF129" s="3"/>
      <c r="JVG129" s="3"/>
      <c r="JVH129" s="3"/>
      <c r="JVI129" s="3"/>
      <c r="JVJ129" s="3"/>
      <c r="JVK129" s="3"/>
      <c r="JVL129" s="3"/>
      <c r="JVM129" s="3"/>
      <c r="JVN129" s="3"/>
      <c r="JVO129" s="3"/>
      <c r="JVP129" s="3"/>
      <c r="JVQ129" s="3"/>
      <c r="JVR129" s="3"/>
      <c r="JVS129" s="3"/>
      <c r="JVT129" s="3"/>
      <c r="JVU129" s="3"/>
      <c r="JVV129" s="3"/>
      <c r="JVW129" s="3"/>
      <c r="JVX129" s="3"/>
      <c r="JVY129" s="3"/>
      <c r="JVZ129" s="3"/>
      <c r="JWA129" s="3"/>
      <c r="JWB129" s="3"/>
      <c r="JWC129" s="3"/>
      <c r="JWD129" s="3"/>
      <c r="JWE129" s="3"/>
      <c r="JWF129" s="3"/>
      <c r="JWG129" s="3"/>
      <c r="JWH129" s="3"/>
      <c r="JWI129" s="3"/>
      <c r="JWJ129" s="3"/>
      <c r="JWK129" s="3"/>
      <c r="JWL129" s="3"/>
      <c r="JWM129" s="3"/>
      <c r="JWN129" s="3"/>
      <c r="JWO129" s="3"/>
      <c r="JWP129" s="3"/>
      <c r="JWQ129" s="3"/>
      <c r="JWR129" s="3"/>
      <c r="JWS129" s="3"/>
      <c r="JWT129" s="3"/>
      <c r="JWU129" s="3"/>
      <c r="JWV129" s="3"/>
      <c r="JWW129" s="3"/>
      <c r="JWX129" s="3"/>
      <c r="JWY129" s="3"/>
      <c r="JWZ129" s="3"/>
      <c r="JXA129" s="3"/>
      <c r="JXB129" s="3"/>
      <c r="JXC129" s="3"/>
      <c r="JXD129" s="3"/>
      <c r="JXE129" s="3"/>
      <c r="JXF129" s="3"/>
      <c r="JXG129" s="3"/>
      <c r="JXH129" s="3"/>
      <c r="JXI129" s="3"/>
      <c r="JXJ129" s="3"/>
      <c r="JXK129" s="3"/>
      <c r="JXL129" s="3"/>
      <c r="JXM129" s="3"/>
      <c r="JXN129" s="3"/>
      <c r="JXO129" s="3"/>
      <c r="JXP129" s="3"/>
      <c r="JXQ129" s="3"/>
      <c r="JXR129" s="3"/>
      <c r="JXS129" s="3"/>
      <c r="JXT129" s="3"/>
      <c r="JXU129" s="3"/>
      <c r="JXV129" s="3"/>
      <c r="JXW129" s="3"/>
      <c r="JXX129" s="3"/>
      <c r="JXY129" s="3"/>
      <c r="JXZ129" s="3"/>
      <c r="JYA129" s="3"/>
      <c r="JYB129" s="3"/>
      <c r="JYC129" s="3"/>
      <c r="JYD129" s="3"/>
      <c r="JYE129" s="3"/>
      <c r="JYF129" s="3"/>
      <c r="JYG129" s="3"/>
      <c r="JYH129" s="3"/>
      <c r="JYI129" s="3"/>
      <c r="JYJ129" s="3"/>
      <c r="JYK129" s="3"/>
      <c r="JYL129" s="3"/>
      <c r="JYM129" s="3"/>
      <c r="JYN129" s="3"/>
      <c r="JYO129" s="3"/>
      <c r="JYP129" s="3"/>
      <c r="JYQ129" s="3"/>
      <c r="JYR129" s="3"/>
      <c r="JYS129" s="3"/>
      <c r="JYT129" s="3"/>
      <c r="JYU129" s="3"/>
      <c r="JYV129" s="3"/>
      <c r="JYW129" s="3"/>
      <c r="JYX129" s="3"/>
      <c r="JYY129" s="3"/>
      <c r="JYZ129" s="3"/>
      <c r="JZA129" s="3"/>
      <c r="JZB129" s="3"/>
      <c r="JZC129" s="3"/>
      <c r="JZD129" s="3"/>
      <c r="JZE129" s="3"/>
      <c r="JZF129" s="3"/>
      <c r="JZG129" s="3"/>
      <c r="JZH129" s="3"/>
      <c r="JZI129" s="3"/>
      <c r="JZJ129" s="3"/>
      <c r="JZK129" s="3"/>
      <c r="JZL129" s="3"/>
      <c r="JZM129" s="3"/>
      <c r="JZN129" s="3"/>
      <c r="JZO129" s="3"/>
      <c r="JZP129" s="3"/>
      <c r="JZQ129" s="3"/>
      <c r="JZR129" s="3"/>
      <c r="JZS129" s="3"/>
      <c r="JZT129" s="3"/>
      <c r="JZU129" s="3"/>
      <c r="JZV129" s="3"/>
      <c r="JZW129" s="3"/>
      <c r="JZX129" s="3"/>
      <c r="JZY129" s="3"/>
      <c r="JZZ129" s="3"/>
      <c r="KAA129" s="3"/>
      <c r="KAB129" s="3"/>
      <c r="KAC129" s="3"/>
      <c r="KAD129" s="3"/>
      <c r="KAE129" s="3"/>
      <c r="KAF129" s="3"/>
      <c r="KAG129" s="3"/>
      <c r="KAH129" s="3"/>
      <c r="KAI129" s="3"/>
      <c r="KAJ129" s="3"/>
      <c r="KAK129" s="3"/>
      <c r="KAL129" s="3"/>
      <c r="KAM129" s="3"/>
      <c r="KAN129" s="3"/>
      <c r="KAO129" s="3"/>
      <c r="KAP129" s="3"/>
      <c r="KAQ129" s="3"/>
      <c r="KAR129" s="3"/>
      <c r="KAS129" s="3"/>
      <c r="KAT129" s="3"/>
      <c r="KAU129" s="3"/>
      <c r="KAV129" s="3"/>
      <c r="KAW129" s="3"/>
      <c r="KAX129" s="3"/>
      <c r="KAY129" s="3"/>
      <c r="KAZ129" s="3"/>
      <c r="KBA129" s="3"/>
      <c r="KBB129" s="3"/>
      <c r="KBC129" s="3"/>
      <c r="KBD129" s="3"/>
      <c r="KBE129" s="3"/>
      <c r="KBF129" s="3"/>
      <c r="KBG129" s="3"/>
      <c r="KBH129" s="3"/>
      <c r="KBI129" s="3"/>
      <c r="KBJ129" s="3"/>
      <c r="KBK129" s="3"/>
      <c r="KBL129" s="3"/>
      <c r="KBM129" s="3"/>
      <c r="KBN129" s="3"/>
      <c r="KBO129" s="3"/>
      <c r="KBP129" s="3"/>
      <c r="KBQ129" s="3"/>
      <c r="KBR129" s="3"/>
      <c r="KBS129" s="3"/>
      <c r="KBT129" s="3"/>
      <c r="KBU129" s="3"/>
      <c r="KBV129" s="3"/>
      <c r="KBW129" s="3"/>
      <c r="KBX129" s="3"/>
      <c r="KBY129" s="3"/>
      <c r="KBZ129" s="3"/>
      <c r="KCA129" s="3"/>
      <c r="KCB129" s="3"/>
      <c r="KCC129" s="3"/>
      <c r="KCD129" s="3"/>
      <c r="KCE129" s="3"/>
      <c r="KCF129" s="3"/>
      <c r="KCG129" s="3"/>
      <c r="KCH129" s="3"/>
      <c r="KCI129" s="3"/>
      <c r="KCJ129" s="3"/>
      <c r="KCK129" s="3"/>
      <c r="KCL129" s="3"/>
      <c r="KCM129" s="3"/>
      <c r="KCN129" s="3"/>
      <c r="KCO129" s="3"/>
      <c r="KCP129" s="3"/>
      <c r="KCQ129" s="3"/>
      <c r="KCR129" s="3"/>
      <c r="KCS129" s="3"/>
      <c r="KCT129" s="3"/>
      <c r="KCU129" s="3"/>
      <c r="KCV129" s="3"/>
      <c r="KCW129" s="3"/>
      <c r="KCX129" s="3"/>
      <c r="KCY129" s="3"/>
      <c r="KCZ129" s="3"/>
      <c r="KDA129" s="3"/>
      <c r="KDB129" s="3"/>
      <c r="KDC129" s="3"/>
      <c r="KDD129" s="3"/>
      <c r="KDE129" s="3"/>
      <c r="KDF129" s="3"/>
      <c r="KDG129" s="3"/>
      <c r="KDH129" s="3"/>
      <c r="KDI129" s="3"/>
      <c r="KDJ129" s="3"/>
      <c r="KDK129" s="3"/>
      <c r="KDL129" s="3"/>
      <c r="KDM129" s="3"/>
      <c r="KDN129" s="3"/>
      <c r="KDO129" s="3"/>
      <c r="KDP129" s="3"/>
      <c r="KDQ129" s="3"/>
      <c r="KDR129" s="3"/>
      <c r="KDS129" s="3"/>
      <c r="KDT129" s="3"/>
      <c r="KDU129" s="3"/>
      <c r="KDV129" s="3"/>
      <c r="KDW129" s="3"/>
      <c r="KDX129" s="3"/>
      <c r="KDY129" s="3"/>
      <c r="KDZ129" s="3"/>
      <c r="KEA129" s="3"/>
      <c r="KEB129" s="3"/>
      <c r="KEC129" s="3"/>
      <c r="KED129" s="3"/>
      <c r="KEE129" s="3"/>
      <c r="KEF129" s="3"/>
      <c r="KEG129" s="3"/>
      <c r="KEH129" s="3"/>
      <c r="KEI129" s="3"/>
      <c r="KEJ129" s="3"/>
      <c r="KEK129" s="3"/>
      <c r="KEL129" s="3"/>
      <c r="KEM129" s="3"/>
      <c r="KEN129" s="3"/>
      <c r="KEO129" s="3"/>
      <c r="KEP129" s="3"/>
      <c r="KEQ129" s="3"/>
      <c r="KER129" s="3"/>
      <c r="KES129" s="3"/>
      <c r="KET129" s="3"/>
      <c r="KEU129" s="3"/>
      <c r="KEV129" s="3"/>
      <c r="KEW129" s="3"/>
      <c r="KEX129" s="3"/>
      <c r="KEY129" s="3"/>
      <c r="KEZ129" s="3"/>
      <c r="KFA129" s="3"/>
      <c r="KFB129" s="3"/>
      <c r="KFC129" s="3"/>
      <c r="KFD129" s="3"/>
      <c r="KFE129" s="3"/>
      <c r="KFF129" s="3"/>
      <c r="KFG129" s="3"/>
      <c r="KFH129" s="3"/>
      <c r="KFI129" s="3"/>
      <c r="KFJ129" s="3"/>
      <c r="KFK129" s="3"/>
      <c r="KFL129" s="3"/>
      <c r="KFM129" s="3"/>
      <c r="KFN129" s="3"/>
      <c r="KFO129" s="3"/>
      <c r="KFP129" s="3"/>
      <c r="KFQ129" s="3"/>
      <c r="KFR129" s="3"/>
      <c r="KFS129" s="3"/>
      <c r="KFT129" s="3"/>
      <c r="KFU129" s="3"/>
      <c r="KFV129" s="3"/>
      <c r="KFW129" s="3"/>
      <c r="KFX129" s="3"/>
      <c r="KFY129" s="3"/>
      <c r="KFZ129" s="3"/>
      <c r="KGA129" s="3"/>
      <c r="KGB129" s="3"/>
      <c r="KGC129" s="3"/>
      <c r="KGD129" s="3"/>
      <c r="KGE129" s="3"/>
      <c r="KGF129" s="3"/>
      <c r="KGG129" s="3"/>
      <c r="KGH129" s="3"/>
      <c r="KGI129" s="3"/>
      <c r="KGJ129" s="3"/>
      <c r="KGK129" s="3"/>
      <c r="KGL129" s="3"/>
      <c r="KGM129" s="3"/>
      <c r="KGN129" s="3"/>
      <c r="KGO129" s="3"/>
      <c r="KGP129" s="3"/>
      <c r="KGQ129" s="3"/>
      <c r="KGR129" s="3"/>
      <c r="KGS129" s="3"/>
      <c r="KGT129" s="3"/>
      <c r="KGU129" s="3"/>
      <c r="KGV129" s="3"/>
      <c r="KGW129" s="3"/>
      <c r="KGX129" s="3"/>
      <c r="KGY129" s="3"/>
      <c r="KGZ129" s="3"/>
      <c r="KHA129" s="3"/>
      <c r="KHB129" s="3"/>
      <c r="KHC129" s="3"/>
      <c r="KHD129" s="3"/>
      <c r="KHE129" s="3"/>
      <c r="KHF129" s="3"/>
      <c r="KHG129" s="3"/>
      <c r="KHH129" s="3"/>
      <c r="KHI129" s="3"/>
      <c r="KHJ129" s="3"/>
      <c r="KHK129" s="3"/>
      <c r="KHL129" s="3"/>
      <c r="KHM129" s="3"/>
      <c r="KHN129" s="3"/>
      <c r="KHO129" s="3"/>
      <c r="KHP129" s="3"/>
      <c r="KHQ129" s="3"/>
      <c r="KHR129" s="3"/>
      <c r="KHS129" s="3"/>
      <c r="KHT129" s="3"/>
      <c r="KHU129" s="3"/>
      <c r="KHV129" s="3"/>
      <c r="KHW129" s="3"/>
      <c r="KHX129" s="3"/>
      <c r="KHY129" s="3"/>
      <c r="KHZ129" s="3"/>
      <c r="KIA129" s="3"/>
      <c r="KIB129" s="3"/>
      <c r="KIC129" s="3"/>
      <c r="KID129" s="3"/>
      <c r="KIE129" s="3"/>
      <c r="KIF129" s="3"/>
      <c r="KIG129" s="3"/>
      <c r="KIH129" s="3"/>
      <c r="KII129" s="3"/>
      <c r="KIJ129" s="3"/>
      <c r="KIK129" s="3"/>
      <c r="KIL129" s="3"/>
      <c r="KIM129" s="3"/>
      <c r="KIN129" s="3"/>
      <c r="KIO129" s="3"/>
      <c r="KIP129" s="3"/>
      <c r="KIQ129" s="3"/>
      <c r="KIR129" s="3"/>
      <c r="KIS129" s="3"/>
      <c r="KIT129" s="3"/>
      <c r="KIU129" s="3"/>
      <c r="KIV129" s="3"/>
      <c r="KIW129" s="3"/>
      <c r="KIX129" s="3"/>
      <c r="KIY129" s="3"/>
      <c r="KIZ129" s="3"/>
      <c r="KJA129" s="3"/>
      <c r="KJB129" s="3"/>
      <c r="KJC129" s="3"/>
      <c r="KJD129" s="3"/>
      <c r="KJE129" s="3"/>
      <c r="KJF129" s="3"/>
      <c r="KJG129" s="3"/>
      <c r="KJH129" s="3"/>
      <c r="KJI129" s="3"/>
      <c r="KJJ129" s="3"/>
      <c r="KJK129" s="3"/>
      <c r="KJL129" s="3"/>
      <c r="KJM129" s="3"/>
      <c r="KJN129" s="3"/>
      <c r="KJO129" s="3"/>
      <c r="KJP129" s="3"/>
      <c r="KJQ129" s="3"/>
      <c r="KJR129" s="3"/>
      <c r="KJS129" s="3"/>
      <c r="KJT129" s="3"/>
      <c r="KJU129" s="3"/>
      <c r="KJV129" s="3"/>
      <c r="KJW129" s="3"/>
      <c r="KJX129" s="3"/>
      <c r="KJY129" s="3"/>
      <c r="KJZ129" s="3"/>
      <c r="KKA129" s="3"/>
      <c r="KKB129" s="3"/>
      <c r="KKC129" s="3"/>
      <c r="KKD129" s="3"/>
      <c r="KKE129" s="3"/>
      <c r="KKF129" s="3"/>
      <c r="KKG129" s="3"/>
      <c r="KKH129" s="3"/>
      <c r="KKI129" s="3"/>
      <c r="KKJ129" s="3"/>
      <c r="KKK129" s="3"/>
      <c r="KKL129" s="3"/>
      <c r="KKM129" s="3"/>
      <c r="KKN129" s="3"/>
      <c r="KKO129" s="3"/>
      <c r="KKP129" s="3"/>
      <c r="KKQ129" s="3"/>
      <c r="KKR129" s="3"/>
      <c r="KKS129" s="3"/>
      <c r="KKT129" s="3"/>
      <c r="KKU129" s="3"/>
      <c r="KKV129" s="3"/>
      <c r="KKW129" s="3"/>
      <c r="KKX129" s="3"/>
      <c r="KKY129" s="3"/>
      <c r="KKZ129" s="3"/>
      <c r="KLA129" s="3"/>
      <c r="KLB129" s="3"/>
      <c r="KLC129" s="3"/>
      <c r="KLD129" s="3"/>
      <c r="KLE129" s="3"/>
      <c r="KLF129" s="3"/>
      <c r="KLG129" s="3"/>
      <c r="KLH129" s="3"/>
      <c r="KLI129" s="3"/>
      <c r="KLJ129" s="3"/>
      <c r="KLK129" s="3"/>
      <c r="KLL129" s="3"/>
      <c r="KLM129" s="3"/>
      <c r="KLN129" s="3"/>
      <c r="KLO129" s="3"/>
      <c r="KLP129" s="3"/>
      <c r="KLQ129" s="3"/>
      <c r="KLR129" s="3"/>
      <c r="KLS129" s="3"/>
      <c r="KLT129" s="3"/>
      <c r="KLU129" s="3"/>
      <c r="KLV129" s="3"/>
      <c r="KLW129" s="3"/>
      <c r="KLX129" s="3"/>
      <c r="KLY129" s="3"/>
      <c r="KLZ129" s="3"/>
      <c r="KMA129" s="3"/>
      <c r="KMB129" s="3"/>
      <c r="KMC129" s="3"/>
      <c r="KMD129" s="3"/>
      <c r="KME129" s="3"/>
      <c r="KMF129" s="3"/>
      <c r="KMG129" s="3"/>
      <c r="KMH129" s="3"/>
      <c r="KMI129" s="3"/>
      <c r="KMJ129" s="3"/>
      <c r="KMK129" s="3"/>
      <c r="KML129" s="3"/>
      <c r="KMM129" s="3"/>
      <c r="KMN129" s="3"/>
      <c r="KMO129" s="3"/>
      <c r="KMP129" s="3"/>
      <c r="KMQ129" s="3"/>
      <c r="KMR129" s="3"/>
      <c r="KMS129" s="3"/>
      <c r="KMT129" s="3"/>
      <c r="KMU129" s="3"/>
      <c r="KMV129" s="3"/>
      <c r="KMW129" s="3"/>
      <c r="KMX129" s="3"/>
      <c r="KMY129" s="3"/>
      <c r="KMZ129" s="3"/>
      <c r="KNA129" s="3"/>
      <c r="KNB129" s="3"/>
      <c r="KNC129" s="3"/>
      <c r="KND129" s="3"/>
      <c r="KNE129" s="3"/>
      <c r="KNF129" s="3"/>
      <c r="KNG129" s="3"/>
      <c r="KNH129" s="3"/>
      <c r="KNI129" s="3"/>
      <c r="KNJ129" s="3"/>
      <c r="KNK129" s="3"/>
      <c r="KNL129" s="3"/>
      <c r="KNM129" s="3"/>
      <c r="KNN129" s="3"/>
      <c r="KNO129" s="3"/>
      <c r="KNP129" s="3"/>
      <c r="KNQ129" s="3"/>
      <c r="KNR129" s="3"/>
      <c r="KNS129" s="3"/>
      <c r="KNT129" s="3"/>
      <c r="KNU129" s="3"/>
      <c r="KNV129" s="3"/>
      <c r="KNW129" s="3"/>
      <c r="KNX129" s="3"/>
      <c r="KNY129" s="3"/>
      <c r="KNZ129" s="3"/>
      <c r="KOA129" s="3"/>
      <c r="KOB129" s="3"/>
      <c r="KOC129" s="3"/>
      <c r="KOD129" s="3"/>
      <c r="KOE129" s="3"/>
      <c r="KOF129" s="3"/>
      <c r="KOG129" s="3"/>
      <c r="KOH129" s="3"/>
      <c r="KOI129" s="3"/>
      <c r="KOJ129" s="3"/>
      <c r="KOK129" s="3"/>
      <c r="KOL129" s="3"/>
      <c r="KOM129" s="3"/>
      <c r="KON129" s="3"/>
      <c r="KOO129" s="3"/>
      <c r="KOP129" s="3"/>
      <c r="KOQ129" s="3"/>
      <c r="KOR129" s="3"/>
      <c r="KOS129" s="3"/>
      <c r="KOT129" s="3"/>
      <c r="KOU129" s="3"/>
      <c r="KOV129" s="3"/>
      <c r="KOW129" s="3"/>
      <c r="KOX129" s="3"/>
      <c r="KOY129" s="3"/>
      <c r="KOZ129" s="3"/>
      <c r="KPA129" s="3"/>
      <c r="KPB129" s="3"/>
      <c r="KPC129" s="3"/>
      <c r="KPD129" s="3"/>
      <c r="KPE129" s="3"/>
      <c r="KPF129" s="3"/>
      <c r="KPG129" s="3"/>
      <c r="KPH129" s="3"/>
      <c r="KPI129" s="3"/>
      <c r="KPJ129" s="3"/>
      <c r="KPK129" s="3"/>
      <c r="KPL129" s="3"/>
      <c r="KPM129" s="3"/>
      <c r="KPN129" s="3"/>
      <c r="KPO129" s="3"/>
      <c r="KPP129" s="3"/>
      <c r="KPQ129" s="3"/>
      <c r="KPR129" s="3"/>
      <c r="KPS129" s="3"/>
      <c r="KPT129" s="3"/>
      <c r="KPU129" s="3"/>
      <c r="KPV129" s="3"/>
      <c r="KPW129" s="3"/>
      <c r="KPX129" s="3"/>
      <c r="KPY129" s="3"/>
      <c r="KPZ129" s="3"/>
      <c r="KQA129" s="3"/>
      <c r="KQB129" s="3"/>
      <c r="KQC129" s="3"/>
      <c r="KQD129" s="3"/>
      <c r="KQE129" s="3"/>
      <c r="KQF129" s="3"/>
      <c r="KQG129" s="3"/>
      <c r="KQH129" s="3"/>
      <c r="KQI129" s="3"/>
      <c r="KQJ129" s="3"/>
      <c r="KQK129" s="3"/>
      <c r="KQL129" s="3"/>
      <c r="KQM129" s="3"/>
      <c r="KQN129" s="3"/>
      <c r="KQO129" s="3"/>
      <c r="KQP129" s="3"/>
      <c r="KQQ129" s="3"/>
      <c r="KQR129" s="3"/>
      <c r="KQS129" s="3"/>
      <c r="KQT129" s="3"/>
      <c r="KQU129" s="3"/>
      <c r="KQV129" s="3"/>
      <c r="KQW129" s="3"/>
      <c r="KQX129" s="3"/>
      <c r="KQY129" s="3"/>
      <c r="KQZ129" s="3"/>
      <c r="KRA129" s="3"/>
      <c r="KRB129" s="3"/>
      <c r="KRC129" s="3"/>
      <c r="KRD129" s="3"/>
      <c r="KRE129" s="3"/>
      <c r="KRF129" s="3"/>
      <c r="KRG129" s="3"/>
      <c r="KRH129" s="3"/>
      <c r="KRI129" s="3"/>
      <c r="KRJ129" s="3"/>
      <c r="KRK129" s="3"/>
      <c r="KRL129" s="3"/>
      <c r="KRM129" s="3"/>
      <c r="KRN129" s="3"/>
      <c r="KRO129" s="3"/>
      <c r="KRP129" s="3"/>
      <c r="KRQ129" s="3"/>
      <c r="KRR129" s="3"/>
      <c r="KRS129" s="3"/>
      <c r="KRT129" s="3"/>
      <c r="KRU129" s="3"/>
      <c r="KRV129" s="3"/>
      <c r="KRW129" s="3"/>
      <c r="KRX129" s="3"/>
      <c r="KRY129" s="3"/>
      <c r="KRZ129" s="3"/>
      <c r="KSA129" s="3"/>
      <c r="KSB129" s="3"/>
      <c r="KSC129" s="3"/>
      <c r="KSD129" s="3"/>
      <c r="KSE129" s="3"/>
      <c r="KSF129" s="3"/>
      <c r="KSG129" s="3"/>
      <c r="KSH129" s="3"/>
      <c r="KSI129" s="3"/>
      <c r="KSJ129" s="3"/>
      <c r="KSK129" s="3"/>
      <c r="KSL129" s="3"/>
      <c r="KSM129" s="3"/>
      <c r="KSN129" s="3"/>
      <c r="KSO129" s="3"/>
      <c r="KSP129" s="3"/>
      <c r="KSQ129" s="3"/>
      <c r="KSR129" s="3"/>
      <c r="KSS129" s="3"/>
      <c r="KST129" s="3"/>
      <c r="KSU129" s="3"/>
      <c r="KSV129" s="3"/>
      <c r="KSW129" s="3"/>
      <c r="KSX129" s="3"/>
      <c r="KSY129" s="3"/>
      <c r="KSZ129" s="3"/>
      <c r="KTA129" s="3"/>
      <c r="KTB129" s="3"/>
      <c r="KTC129" s="3"/>
      <c r="KTD129" s="3"/>
      <c r="KTE129" s="3"/>
      <c r="KTF129" s="3"/>
      <c r="KTG129" s="3"/>
      <c r="KTH129" s="3"/>
      <c r="KTI129" s="3"/>
      <c r="KTJ129" s="3"/>
      <c r="KTK129" s="3"/>
      <c r="KTL129" s="3"/>
      <c r="KTM129" s="3"/>
      <c r="KTN129" s="3"/>
      <c r="KTO129" s="3"/>
      <c r="KTP129" s="3"/>
      <c r="KTQ129" s="3"/>
      <c r="KTR129" s="3"/>
      <c r="KTS129" s="3"/>
      <c r="KTT129" s="3"/>
      <c r="KTU129" s="3"/>
      <c r="KTV129" s="3"/>
      <c r="KTW129" s="3"/>
      <c r="KTX129" s="3"/>
      <c r="KTY129" s="3"/>
      <c r="KTZ129" s="3"/>
      <c r="KUA129" s="3"/>
      <c r="KUB129" s="3"/>
      <c r="KUC129" s="3"/>
      <c r="KUD129" s="3"/>
      <c r="KUE129" s="3"/>
      <c r="KUF129" s="3"/>
      <c r="KUG129" s="3"/>
      <c r="KUH129" s="3"/>
      <c r="KUI129" s="3"/>
      <c r="KUJ129" s="3"/>
      <c r="KUK129" s="3"/>
      <c r="KUL129" s="3"/>
      <c r="KUM129" s="3"/>
      <c r="KUN129" s="3"/>
      <c r="KUO129" s="3"/>
      <c r="KUP129" s="3"/>
      <c r="KUQ129" s="3"/>
      <c r="KUR129" s="3"/>
      <c r="KUS129" s="3"/>
      <c r="KUT129" s="3"/>
      <c r="KUU129" s="3"/>
      <c r="KUV129" s="3"/>
      <c r="KUW129" s="3"/>
      <c r="KUX129" s="3"/>
      <c r="KUY129" s="3"/>
      <c r="KUZ129" s="3"/>
      <c r="KVA129" s="3"/>
      <c r="KVB129" s="3"/>
      <c r="KVC129" s="3"/>
      <c r="KVD129" s="3"/>
      <c r="KVE129" s="3"/>
      <c r="KVF129" s="3"/>
      <c r="KVG129" s="3"/>
      <c r="KVH129" s="3"/>
      <c r="KVI129" s="3"/>
      <c r="KVJ129" s="3"/>
      <c r="KVK129" s="3"/>
      <c r="KVL129" s="3"/>
      <c r="KVM129" s="3"/>
      <c r="KVN129" s="3"/>
      <c r="KVO129" s="3"/>
      <c r="KVP129" s="3"/>
      <c r="KVQ129" s="3"/>
      <c r="KVR129" s="3"/>
      <c r="KVS129" s="3"/>
      <c r="KVT129" s="3"/>
      <c r="KVU129" s="3"/>
      <c r="KVV129" s="3"/>
      <c r="KVW129" s="3"/>
      <c r="KVX129" s="3"/>
      <c r="KVY129" s="3"/>
      <c r="KVZ129" s="3"/>
      <c r="KWA129" s="3"/>
      <c r="KWB129" s="3"/>
      <c r="KWC129" s="3"/>
      <c r="KWD129" s="3"/>
      <c r="KWE129" s="3"/>
      <c r="KWF129" s="3"/>
      <c r="KWG129" s="3"/>
      <c r="KWH129" s="3"/>
      <c r="KWI129" s="3"/>
      <c r="KWJ129" s="3"/>
      <c r="KWK129" s="3"/>
      <c r="KWL129" s="3"/>
      <c r="KWM129" s="3"/>
      <c r="KWN129" s="3"/>
      <c r="KWO129" s="3"/>
      <c r="KWP129" s="3"/>
      <c r="KWQ129" s="3"/>
      <c r="KWR129" s="3"/>
      <c r="KWS129" s="3"/>
      <c r="KWT129" s="3"/>
      <c r="KWU129" s="3"/>
      <c r="KWV129" s="3"/>
      <c r="KWW129" s="3"/>
      <c r="KWX129" s="3"/>
      <c r="KWY129" s="3"/>
      <c r="KWZ129" s="3"/>
      <c r="KXA129" s="3"/>
      <c r="KXB129" s="3"/>
      <c r="KXC129" s="3"/>
      <c r="KXD129" s="3"/>
      <c r="KXE129" s="3"/>
      <c r="KXF129" s="3"/>
      <c r="KXG129" s="3"/>
      <c r="KXH129" s="3"/>
      <c r="KXI129" s="3"/>
      <c r="KXJ129" s="3"/>
      <c r="KXK129" s="3"/>
      <c r="KXL129" s="3"/>
      <c r="KXM129" s="3"/>
      <c r="KXN129" s="3"/>
      <c r="KXO129" s="3"/>
      <c r="KXP129" s="3"/>
      <c r="KXQ129" s="3"/>
      <c r="KXR129" s="3"/>
      <c r="KXS129" s="3"/>
      <c r="KXT129" s="3"/>
      <c r="KXU129" s="3"/>
      <c r="KXV129" s="3"/>
      <c r="KXW129" s="3"/>
      <c r="KXX129" s="3"/>
      <c r="KXY129" s="3"/>
      <c r="KXZ129" s="3"/>
      <c r="KYA129" s="3"/>
      <c r="KYB129" s="3"/>
      <c r="KYC129" s="3"/>
      <c r="KYD129" s="3"/>
      <c r="KYE129" s="3"/>
      <c r="KYF129" s="3"/>
      <c r="KYG129" s="3"/>
      <c r="KYH129" s="3"/>
      <c r="KYI129" s="3"/>
      <c r="KYJ129" s="3"/>
      <c r="KYK129" s="3"/>
      <c r="KYL129" s="3"/>
      <c r="KYM129" s="3"/>
      <c r="KYN129" s="3"/>
      <c r="KYO129" s="3"/>
      <c r="KYP129" s="3"/>
      <c r="KYQ129" s="3"/>
      <c r="KYR129" s="3"/>
      <c r="KYS129" s="3"/>
      <c r="KYT129" s="3"/>
      <c r="KYU129" s="3"/>
      <c r="KYV129" s="3"/>
      <c r="KYW129" s="3"/>
      <c r="KYX129" s="3"/>
      <c r="KYY129" s="3"/>
      <c r="KYZ129" s="3"/>
      <c r="KZA129" s="3"/>
      <c r="KZB129" s="3"/>
      <c r="KZC129" s="3"/>
      <c r="KZD129" s="3"/>
      <c r="KZE129" s="3"/>
      <c r="KZF129" s="3"/>
      <c r="KZG129" s="3"/>
      <c r="KZH129" s="3"/>
      <c r="KZI129" s="3"/>
      <c r="KZJ129" s="3"/>
      <c r="KZK129" s="3"/>
      <c r="KZL129" s="3"/>
      <c r="KZM129" s="3"/>
      <c r="KZN129" s="3"/>
      <c r="KZO129" s="3"/>
      <c r="KZP129" s="3"/>
      <c r="KZQ129" s="3"/>
      <c r="KZR129" s="3"/>
      <c r="KZS129" s="3"/>
      <c r="KZT129" s="3"/>
      <c r="KZU129" s="3"/>
      <c r="KZV129" s="3"/>
      <c r="KZW129" s="3"/>
      <c r="KZX129" s="3"/>
      <c r="KZY129" s="3"/>
      <c r="KZZ129" s="3"/>
      <c r="LAA129" s="3"/>
      <c r="LAB129" s="3"/>
      <c r="LAC129" s="3"/>
      <c r="LAD129" s="3"/>
      <c r="LAE129" s="3"/>
      <c r="LAF129" s="3"/>
      <c r="LAG129" s="3"/>
      <c r="LAH129" s="3"/>
      <c r="LAI129" s="3"/>
      <c r="LAJ129" s="3"/>
      <c r="LAK129" s="3"/>
      <c r="LAL129" s="3"/>
      <c r="LAM129" s="3"/>
      <c r="LAN129" s="3"/>
      <c r="LAO129" s="3"/>
      <c r="LAP129" s="3"/>
      <c r="LAQ129" s="3"/>
      <c r="LAR129" s="3"/>
      <c r="LAS129" s="3"/>
      <c r="LAT129" s="3"/>
      <c r="LAU129" s="3"/>
      <c r="LAV129" s="3"/>
      <c r="LAW129" s="3"/>
      <c r="LAX129" s="3"/>
      <c r="LAY129" s="3"/>
      <c r="LAZ129" s="3"/>
      <c r="LBA129" s="3"/>
      <c r="LBB129" s="3"/>
      <c r="LBC129" s="3"/>
      <c r="LBD129" s="3"/>
      <c r="LBE129" s="3"/>
      <c r="LBF129" s="3"/>
      <c r="LBG129" s="3"/>
      <c r="LBH129" s="3"/>
      <c r="LBI129" s="3"/>
      <c r="LBJ129" s="3"/>
      <c r="LBK129" s="3"/>
      <c r="LBL129" s="3"/>
      <c r="LBM129" s="3"/>
      <c r="LBN129" s="3"/>
      <c r="LBO129" s="3"/>
      <c r="LBP129" s="3"/>
      <c r="LBQ129" s="3"/>
      <c r="LBR129" s="3"/>
      <c r="LBS129" s="3"/>
      <c r="LBT129" s="3"/>
      <c r="LBU129" s="3"/>
      <c r="LBV129" s="3"/>
      <c r="LBW129" s="3"/>
      <c r="LBX129" s="3"/>
      <c r="LBY129" s="3"/>
      <c r="LBZ129" s="3"/>
      <c r="LCA129" s="3"/>
      <c r="LCB129" s="3"/>
      <c r="LCC129" s="3"/>
      <c r="LCD129" s="3"/>
      <c r="LCE129" s="3"/>
      <c r="LCF129" s="3"/>
      <c r="LCG129" s="3"/>
      <c r="LCH129" s="3"/>
      <c r="LCI129" s="3"/>
      <c r="LCJ129" s="3"/>
      <c r="LCK129" s="3"/>
      <c r="LCL129" s="3"/>
      <c r="LCM129" s="3"/>
      <c r="LCN129" s="3"/>
      <c r="LCO129" s="3"/>
      <c r="LCP129" s="3"/>
      <c r="LCQ129" s="3"/>
      <c r="LCR129" s="3"/>
      <c r="LCS129" s="3"/>
      <c r="LCT129" s="3"/>
      <c r="LCU129" s="3"/>
      <c r="LCV129" s="3"/>
      <c r="LCW129" s="3"/>
      <c r="LCX129" s="3"/>
      <c r="LCY129" s="3"/>
      <c r="LCZ129" s="3"/>
      <c r="LDA129" s="3"/>
      <c r="LDB129" s="3"/>
      <c r="LDC129" s="3"/>
      <c r="LDD129" s="3"/>
      <c r="LDE129" s="3"/>
      <c r="LDF129" s="3"/>
      <c r="LDG129" s="3"/>
      <c r="LDH129" s="3"/>
      <c r="LDI129" s="3"/>
      <c r="LDJ129" s="3"/>
      <c r="LDK129" s="3"/>
      <c r="LDL129" s="3"/>
      <c r="LDM129" s="3"/>
      <c r="LDN129" s="3"/>
      <c r="LDO129" s="3"/>
      <c r="LDP129" s="3"/>
      <c r="LDQ129" s="3"/>
      <c r="LDR129" s="3"/>
      <c r="LDS129" s="3"/>
      <c r="LDT129" s="3"/>
      <c r="LDU129" s="3"/>
      <c r="LDV129" s="3"/>
      <c r="LDW129" s="3"/>
      <c r="LDX129" s="3"/>
      <c r="LDY129" s="3"/>
      <c r="LDZ129" s="3"/>
      <c r="LEA129" s="3"/>
      <c r="LEB129" s="3"/>
      <c r="LEC129" s="3"/>
      <c r="LED129" s="3"/>
      <c r="LEE129" s="3"/>
      <c r="LEF129" s="3"/>
      <c r="LEG129" s="3"/>
      <c r="LEH129" s="3"/>
      <c r="LEI129" s="3"/>
      <c r="LEJ129" s="3"/>
      <c r="LEK129" s="3"/>
      <c r="LEL129" s="3"/>
      <c r="LEM129" s="3"/>
      <c r="LEN129" s="3"/>
      <c r="LEO129" s="3"/>
      <c r="LEP129" s="3"/>
      <c r="LEQ129" s="3"/>
      <c r="LER129" s="3"/>
      <c r="LES129" s="3"/>
      <c r="LET129" s="3"/>
      <c r="LEU129" s="3"/>
      <c r="LEV129" s="3"/>
      <c r="LEW129" s="3"/>
      <c r="LEX129" s="3"/>
      <c r="LEY129" s="3"/>
      <c r="LEZ129" s="3"/>
      <c r="LFA129" s="3"/>
      <c r="LFB129" s="3"/>
      <c r="LFC129" s="3"/>
      <c r="LFD129" s="3"/>
      <c r="LFE129" s="3"/>
      <c r="LFF129" s="3"/>
      <c r="LFG129" s="3"/>
      <c r="LFH129" s="3"/>
      <c r="LFI129" s="3"/>
      <c r="LFJ129" s="3"/>
      <c r="LFK129" s="3"/>
      <c r="LFL129" s="3"/>
      <c r="LFM129" s="3"/>
      <c r="LFN129" s="3"/>
      <c r="LFO129" s="3"/>
      <c r="LFP129" s="3"/>
      <c r="LFQ129" s="3"/>
      <c r="LFR129" s="3"/>
      <c r="LFS129" s="3"/>
      <c r="LFT129" s="3"/>
      <c r="LFU129" s="3"/>
      <c r="LFV129" s="3"/>
      <c r="LFW129" s="3"/>
      <c r="LFX129" s="3"/>
      <c r="LFY129" s="3"/>
      <c r="LFZ129" s="3"/>
      <c r="LGA129" s="3"/>
      <c r="LGB129" s="3"/>
      <c r="LGC129" s="3"/>
      <c r="LGD129" s="3"/>
      <c r="LGE129" s="3"/>
      <c r="LGF129" s="3"/>
      <c r="LGG129" s="3"/>
      <c r="LGH129" s="3"/>
      <c r="LGI129" s="3"/>
      <c r="LGJ129" s="3"/>
      <c r="LGK129" s="3"/>
      <c r="LGL129" s="3"/>
      <c r="LGM129" s="3"/>
      <c r="LGN129" s="3"/>
      <c r="LGO129" s="3"/>
      <c r="LGP129" s="3"/>
      <c r="LGQ129" s="3"/>
      <c r="LGR129" s="3"/>
      <c r="LGS129" s="3"/>
      <c r="LGT129" s="3"/>
      <c r="LGU129" s="3"/>
      <c r="LGV129" s="3"/>
      <c r="LGW129" s="3"/>
      <c r="LGX129" s="3"/>
      <c r="LGY129" s="3"/>
      <c r="LGZ129" s="3"/>
      <c r="LHA129" s="3"/>
      <c r="LHB129" s="3"/>
      <c r="LHC129" s="3"/>
      <c r="LHD129" s="3"/>
      <c r="LHE129" s="3"/>
      <c r="LHF129" s="3"/>
      <c r="LHG129" s="3"/>
      <c r="LHH129" s="3"/>
      <c r="LHI129" s="3"/>
      <c r="LHJ129" s="3"/>
      <c r="LHK129" s="3"/>
      <c r="LHL129" s="3"/>
      <c r="LHM129" s="3"/>
      <c r="LHN129" s="3"/>
      <c r="LHO129" s="3"/>
      <c r="LHP129" s="3"/>
      <c r="LHQ129" s="3"/>
      <c r="LHR129" s="3"/>
      <c r="LHS129" s="3"/>
      <c r="LHT129" s="3"/>
      <c r="LHU129" s="3"/>
      <c r="LHV129" s="3"/>
      <c r="LHW129" s="3"/>
      <c r="LHX129" s="3"/>
      <c r="LHY129" s="3"/>
      <c r="LHZ129" s="3"/>
      <c r="LIA129" s="3"/>
      <c r="LIB129" s="3"/>
      <c r="LIC129" s="3"/>
      <c r="LID129" s="3"/>
      <c r="LIE129" s="3"/>
      <c r="LIF129" s="3"/>
      <c r="LIG129" s="3"/>
      <c r="LIH129" s="3"/>
      <c r="LII129" s="3"/>
      <c r="LIJ129" s="3"/>
      <c r="LIK129" s="3"/>
      <c r="LIL129" s="3"/>
      <c r="LIM129" s="3"/>
      <c r="LIN129" s="3"/>
      <c r="LIO129" s="3"/>
      <c r="LIP129" s="3"/>
      <c r="LIQ129" s="3"/>
      <c r="LIR129" s="3"/>
      <c r="LIS129" s="3"/>
      <c r="LIT129" s="3"/>
      <c r="LIU129" s="3"/>
      <c r="LIV129" s="3"/>
      <c r="LIW129" s="3"/>
      <c r="LIX129" s="3"/>
      <c r="LIY129" s="3"/>
      <c r="LIZ129" s="3"/>
      <c r="LJA129" s="3"/>
      <c r="LJB129" s="3"/>
      <c r="LJC129" s="3"/>
      <c r="LJD129" s="3"/>
      <c r="LJE129" s="3"/>
      <c r="LJF129" s="3"/>
      <c r="LJG129" s="3"/>
      <c r="LJH129" s="3"/>
      <c r="LJI129" s="3"/>
      <c r="LJJ129" s="3"/>
      <c r="LJK129" s="3"/>
      <c r="LJL129" s="3"/>
      <c r="LJM129" s="3"/>
      <c r="LJN129" s="3"/>
      <c r="LJO129" s="3"/>
      <c r="LJP129" s="3"/>
      <c r="LJQ129" s="3"/>
      <c r="LJR129" s="3"/>
      <c r="LJS129" s="3"/>
      <c r="LJT129" s="3"/>
      <c r="LJU129" s="3"/>
      <c r="LJV129" s="3"/>
      <c r="LJW129" s="3"/>
      <c r="LJX129" s="3"/>
      <c r="LJY129" s="3"/>
      <c r="LJZ129" s="3"/>
      <c r="LKA129" s="3"/>
      <c r="LKB129" s="3"/>
      <c r="LKC129" s="3"/>
      <c r="LKD129" s="3"/>
      <c r="LKE129" s="3"/>
      <c r="LKF129" s="3"/>
      <c r="LKG129" s="3"/>
      <c r="LKH129" s="3"/>
      <c r="LKI129" s="3"/>
      <c r="LKJ129" s="3"/>
      <c r="LKK129" s="3"/>
      <c r="LKL129" s="3"/>
      <c r="LKM129" s="3"/>
      <c r="LKN129" s="3"/>
      <c r="LKO129" s="3"/>
      <c r="LKP129" s="3"/>
      <c r="LKQ129" s="3"/>
      <c r="LKR129" s="3"/>
      <c r="LKS129" s="3"/>
      <c r="LKT129" s="3"/>
      <c r="LKU129" s="3"/>
      <c r="LKV129" s="3"/>
      <c r="LKW129" s="3"/>
      <c r="LKX129" s="3"/>
      <c r="LKY129" s="3"/>
      <c r="LKZ129" s="3"/>
      <c r="LLA129" s="3"/>
      <c r="LLB129" s="3"/>
      <c r="LLC129" s="3"/>
      <c r="LLD129" s="3"/>
      <c r="LLE129" s="3"/>
      <c r="LLF129" s="3"/>
      <c r="LLG129" s="3"/>
      <c r="LLH129" s="3"/>
      <c r="LLI129" s="3"/>
      <c r="LLJ129" s="3"/>
      <c r="LLK129" s="3"/>
      <c r="LLL129" s="3"/>
      <c r="LLM129" s="3"/>
      <c r="LLN129" s="3"/>
      <c r="LLO129" s="3"/>
      <c r="LLP129" s="3"/>
      <c r="LLQ129" s="3"/>
      <c r="LLR129" s="3"/>
      <c r="LLS129" s="3"/>
      <c r="LLT129" s="3"/>
      <c r="LLU129" s="3"/>
      <c r="LLV129" s="3"/>
      <c r="LLW129" s="3"/>
      <c r="LLX129" s="3"/>
      <c r="LLY129" s="3"/>
      <c r="LLZ129" s="3"/>
      <c r="LMA129" s="3"/>
      <c r="LMB129" s="3"/>
      <c r="LMC129" s="3"/>
      <c r="LMD129" s="3"/>
      <c r="LME129" s="3"/>
      <c r="LMF129" s="3"/>
      <c r="LMG129" s="3"/>
      <c r="LMH129" s="3"/>
      <c r="LMI129" s="3"/>
      <c r="LMJ129" s="3"/>
      <c r="LMK129" s="3"/>
      <c r="LML129" s="3"/>
      <c r="LMM129" s="3"/>
      <c r="LMN129" s="3"/>
      <c r="LMO129" s="3"/>
      <c r="LMP129" s="3"/>
      <c r="LMQ129" s="3"/>
      <c r="LMR129" s="3"/>
      <c r="LMS129" s="3"/>
      <c r="LMT129" s="3"/>
      <c r="LMU129" s="3"/>
      <c r="LMV129" s="3"/>
      <c r="LMW129" s="3"/>
      <c r="LMX129" s="3"/>
      <c r="LMY129" s="3"/>
      <c r="LMZ129" s="3"/>
      <c r="LNA129" s="3"/>
      <c r="LNB129" s="3"/>
      <c r="LNC129" s="3"/>
      <c r="LND129" s="3"/>
      <c r="LNE129" s="3"/>
      <c r="LNF129" s="3"/>
      <c r="LNG129" s="3"/>
      <c r="LNH129" s="3"/>
      <c r="LNI129" s="3"/>
      <c r="LNJ129" s="3"/>
      <c r="LNK129" s="3"/>
      <c r="LNL129" s="3"/>
      <c r="LNM129" s="3"/>
      <c r="LNN129" s="3"/>
      <c r="LNO129" s="3"/>
      <c r="LNP129" s="3"/>
      <c r="LNQ129" s="3"/>
      <c r="LNR129" s="3"/>
      <c r="LNS129" s="3"/>
      <c r="LNT129" s="3"/>
      <c r="LNU129" s="3"/>
      <c r="LNV129" s="3"/>
      <c r="LNW129" s="3"/>
      <c r="LNX129" s="3"/>
      <c r="LNY129" s="3"/>
      <c r="LNZ129" s="3"/>
      <c r="LOA129" s="3"/>
      <c r="LOB129" s="3"/>
      <c r="LOC129" s="3"/>
      <c r="LOD129" s="3"/>
      <c r="LOE129" s="3"/>
      <c r="LOF129" s="3"/>
      <c r="LOG129" s="3"/>
      <c r="LOH129" s="3"/>
      <c r="LOI129" s="3"/>
      <c r="LOJ129" s="3"/>
      <c r="LOK129" s="3"/>
      <c r="LOL129" s="3"/>
      <c r="LOM129" s="3"/>
      <c r="LON129" s="3"/>
      <c r="LOO129" s="3"/>
      <c r="LOP129" s="3"/>
      <c r="LOQ129" s="3"/>
      <c r="LOR129" s="3"/>
      <c r="LOS129" s="3"/>
      <c r="LOT129" s="3"/>
      <c r="LOU129" s="3"/>
      <c r="LOV129" s="3"/>
      <c r="LOW129" s="3"/>
      <c r="LOX129" s="3"/>
      <c r="LOY129" s="3"/>
      <c r="LOZ129" s="3"/>
      <c r="LPA129" s="3"/>
      <c r="LPB129" s="3"/>
      <c r="LPC129" s="3"/>
      <c r="LPD129" s="3"/>
      <c r="LPE129" s="3"/>
      <c r="LPF129" s="3"/>
      <c r="LPG129" s="3"/>
      <c r="LPH129" s="3"/>
      <c r="LPI129" s="3"/>
      <c r="LPJ129" s="3"/>
      <c r="LPK129" s="3"/>
      <c r="LPL129" s="3"/>
      <c r="LPM129" s="3"/>
      <c r="LPN129" s="3"/>
      <c r="LPO129" s="3"/>
      <c r="LPP129" s="3"/>
      <c r="LPQ129" s="3"/>
      <c r="LPR129" s="3"/>
      <c r="LPS129" s="3"/>
      <c r="LPT129" s="3"/>
      <c r="LPU129" s="3"/>
      <c r="LPV129" s="3"/>
      <c r="LPW129" s="3"/>
      <c r="LPX129" s="3"/>
      <c r="LPY129" s="3"/>
      <c r="LPZ129" s="3"/>
      <c r="LQA129" s="3"/>
      <c r="LQB129" s="3"/>
      <c r="LQC129" s="3"/>
      <c r="LQD129" s="3"/>
      <c r="LQE129" s="3"/>
      <c r="LQF129" s="3"/>
      <c r="LQG129" s="3"/>
      <c r="LQH129" s="3"/>
      <c r="LQI129" s="3"/>
      <c r="LQJ129" s="3"/>
      <c r="LQK129" s="3"/>
      <c r="LQL129" s="3"/>
      <c r="LQM129" s="3"/>
      <c r="LQN129" s="3"/>
      <c r="LQO129" s="3"/>
      <c r="LQP129" s="3"/>
      <c r="LQQ129" s="3"/>
      <c r="LQR129" s="3"/>
      <c r="LQS129" s="3"/>
      <c r="LQT129" s="3"/>
      <c r="LQU129" s="3"/>
      <c r="LQV129" s="3"/>
      <c r="LQW129" s="3"/>
      <c r="LQX129" s="3"/>
      <c r="LQY129" s="3"/>
      <c r="LQZ129" s="3"/>
      <c r="LRA129" s="3"/>
      <c r="LRB129" s="3"/>
      <c r="LRC129" s="3"/>
      <c r="LRD129" s="3"/>
      <c r="LRE129" s="3"/>
      <c r="LRF129" s="3"/>
      <c r="LRG129" s="3"/>
      <c r="LRH129" s="3"/>
      <c r="LRI129" s="3"/>
      <c r="LRJ129" s="3"/>
      <c r="LRK129" s="3"/>
      <c r="LRL129" s="3"/>
      <c r="LRM129" s="3"/>
      <c r="LRN129" s="3"/>
      <c r="LRO129" s="3"/>
      <c r="LRP129" s="3"/>
      <c r="LRQ129" s="3"/>
      <c r="LRR129" s="3"/>
      <c r="LRS129" s="3"/>
      <c r="LRT129" s="3"/>
      <c r="LRU129" s="3"/>
      <c r="LRV129" s="3"/>
      <c r="LRW129" s="3"/>
      <c r="LRX129" s="3"/>
      <c r="LRY129" s="3"/>
      <c r="LRZ129" s="3"/>
      <c r="LSA129" s="3"/>
      <c r="LSB129" s="3"/>
      <c r="LSC129" s="3"/>
      <c r="LSD129" s="3"/>
      <c r="LSE129" s="3"/>
      <c r="LSF129" s="3"/>
      <c r="LSG129" s="3"/>
      <c r="LSH129" s="3"/>
      <c r="LSI129" s="3"/>
      <c r="LSJ129" s="3"/>
      <c r="LSK129" s="3"/>
      <c r="LSL129" s="3"/>
      <c r="LSM129" s="3"/>
      <c r="LSN129" s="3"/>
      <c r="LSO129" s="3"/>
      <c r="LSP129" s="3"/>
      <c r="LSQ129" s="3"/>
      <c r="LSR129" s="3"/>
      <c r="LSS129" s="3"/>
      <c r="LST129" s="3"/>
      <c r="LSU129" s="3"/>
      <c r="LSV129" s="3"/>
      <c r="LSW129" s="3"/>
      <c r="LSX129" s="3"/>
      <c r="LSY129" s="3"/>
      <c r="LSZ129" s="3"/>
      <c r="LTA129" s="3"/>
      <c r="LTB129" s="3"/>
      <c r="LTC129" s="3"/>
      <c r="LTD129" s="3"/>
      <c r="LTE129" s="3"/>
      <c r="LTF129" s="3"/>
      <c r="LTG129" s="3"/>
      <c r="LTH129" s="3"/>
      <c r="LTI129" s="3"/>
      <c r="LTJ129" s="3"/>
      <c r="LTK129" s="3"/>
      <c r="LTL129" s="3"/>
      <c r="LTM129" s="3"/>
      <c r="LTN129" s="3"/>
      <c r="LTO129" s="3"/>
      <c r="LTP129" s="3"/>
      <c r="LTQ129" s="3"/>
      <c r="LTR129" s="3"/>
      <c r="LTS129" s="3"/>
      <c r="LTT129" s="3"/>
      <c r="LTU129" s="3"/>
      <c r="LTV129" s="3"/>
      <c r="LTW129" s="3"/>
      <c r="LTX129" s="3"/>
      <c r="LTY129" s="3"/>
      <c r="LTZ129" s="3"/>
      <c r="LUA129" s="3"/>
      <c r="LUB129" s="3"/>
      <c r="LUC129" s="3"/>
      <c r="LUD129" s="3"/>
      <c r="LUE129" s="3"/>
      <c r="LUF129" s="3"/>
      <c r="LUG129" s="3"/>
      <c r="LUH129" s="3"/>
      <c r="LUI129" s="3"/>
      <c r="LUJ129" s="3"/>
      <c r="LUK129" s="3"/>
      <c r="LUL129" s="3"/>
      <c r="LUM129" s="3"/>
      <c r="LUN129" s="3"/>
      <c r="LUO129" s="3"/>
      <c r="LUP129" s="3"/>
      <c r="LUQ129" s="3"/>
      <c r="LUR129" s="3"/>
      <c r="LUS129" s="3"/>
      <c r="LUT129" s="3"/>
      <c r="LUU129" s="3"/>
      <c r="LUV129" s="3"/>
      <c r="LUW129" s="3"/>
      <c r="LUX129" s="3"/>
      <c r="LUY129" s="3"/>
      <c r="LUZ129" s="3"/>
      <c r="LVA129" s="3"/>
      <c r="LVB129" s="3"/>
      <c r="LVC129" s="3"/>
      <c r="LVD129" s="3"/>
      <c r="LVE129" s="3"/>
      <c r="LVF129" s="3"/>
      <c r="LVG129" s="3"/>
      <c r="LVH129" s="3"/>
      <c r="LVI129" s="3"/>
      <c r="LVJ129" s="3"/>
      <c r="LVK129" s="3"/>
      <c r="LVL129" s="3"/>
      <c r="LVM129" s="3"/>
      <c r="LVN129" s="3"/>
      <c r="LVO129" s="3"/>
      <c r="LVP129" s="3"/>
      <c r="LVQ129" s="3"/>
      <c r="LVR129" s="3"/>
      <c r="LVS129" s="3"/>
      <c r="LVT129" s="3"/>
      <c r="LVU129" s="3"/>
      <c r="LVV129" s="3"/>
      <c r="LVW129" s="3"/>
      <c r="LVX129" s="3"/>
      <c r="LVY129" s="3"/>
      <c r="LVZ129" s="3"/>
      <c r="LWA129" s="3"/>
      <c r="LWB129" s="3"/>
      <c r="LWC129" s="3"/>
      <c r="LWD129" s="3"/>
      <c r="LWE129" s="3"/>
      <c r="LWF129" s="3"/>
      <c r="LWG129" s="3"/>
      <c r="LWH129" s="3"/>
      <c r="LWI129" s="3"/>
      <c r="LWJ129" s="3"/>
      <c r="LWK129" s="3"/>
      <c r="LWL129" s="3"/>
      <c r="LWM129" s="3"/>
      <c r="LWN129" s="3"/>
      <c r="LWO129" s="3"/>
      <c r="LWP129" s="3"/>
      <c r="LWQ129" s="3"/>
      <c r="LWR129" s="3"/>
      <c r="LWS129" s="3"/>
      <c r="LWT129" s="3"/>
      <c r="LWU129" s="3"/>
      <c r="LWV129" s="3"/>
      <c r="LWW129" s="3"/>
      <c r="LWX129" s="3"/>
      <c r="LWY129" s="3"/>
      <c r="LWZ129" s="3"/>
      <c r="LXA129" s="3"/>
      <c r="LXB129" s="3"/>
      <c r="LXC129" s="3"/>
      <c r="LXD129" s="3"/>
      <c r="LXE129" s="3"/>
      <c r="LXF129" s="3"/>
      <c r="LXG129" s="3"/>
      <c r="LXH129" s="3"/>
      <c r="LXI129" s="3"/>
      <c r="LXJ129" s="3"/>
      <c r="LXK129" s="3"/>
      <c r="LXL129" s="3"/>
      <c r="LXM129" s="3"/>
      <c r="LXN129" s="3"/>
      <c r="LXO129" s="3"/>
      <c r="LXP129" s="3"/>
      <c r="LXQ129" s="3"/>
      <c r="LXR129" s="3"/>
      <c r="LXS129" s="3"/>
      <c r="LXT129" s="3"/>
      <c r="LXU129" s="3"/>
      <c r="LXV129" s="3"/>
      <c r="LXW129" s="3"/>
      <c r="LXX129" s="3"/>
      <c r="LXY129" s="3"/>
      <c r="LXZ129" s="3"/>
      <c r="LYA129" s="3"/>
      <c r="LYB129" s="3"/>
      <c r="LYC129" s="3"/>
      <c r="LYD129" s="3"/>
      <c r="LYE129" s="3"/>
      <c r="LYF129" s="3"/>
      <c r="LYG129" s="3"/>
      <c r="LYH129" s="3"/>
      <c r="LYI129" s="3"/>
      <c r="LYJ129" s="3"/>
      <c r="LYK129" s="3"/>
      <c r="LYL129" s="3"/>
      <c r="LYM129" s="3"/>
      <c r="LYN129" s="3"/>
      <c r="LYO129" s="3"/>
      <c r="LYP129" s="3"/>
      <c r="LYQ129" s="3"/>
      <c r="LYR129" s="3"/>
      <c r="LYS129" s="3"/>
      <c r="LYT129" s="3"/>
      <c r="LYU129" s="3"/>
      <c r="LYV129" s="3"/>
      <c r="LYW129" s="3"/>
      <c r="LYX129" s="3"/>
      <c r="LYY129" s="3"/>
      <c r="LYZ129" s="3"/>
      <c r="LZA129" s="3"/>
      <c r="LZB129" s="3"/>
      <c r="LZC129" s="3"/>
      <c r="LZD129" s="3"/>
      <c r="LZE129" s="3"/>
      <c r="LZF129" s="3"/>
      <c r="LZG129" s="3"/>
      <c r="LZH129" s="3"/>
      <c r="LZI129" s="3"/>
      <c r="LZJ129" s="3"/>
      <c r="LZK129" s="3"/>
      <c r="LZL129" s="3"/>
      <c r="LZM129" s="3"/>
      <c r="LZN129" s="3"/>
      <c r="LZO129" s="3"/>
      <c r="LZP129" s="3"/>
      <c r="LZQ129" s="3"/>
      <c r="LZR129" s="3"/>
      <c r="LZS129" s="3"/>
      <c r="LZT129" s="3"/>
      <c r="LZU129" s="3"/>
      <c r="LZV129" s="3"/>
      <c r="LZW129" s="3"/>
      <c r="LZX129" s="3"/>
      <c r="LZY129" s="3"/>
      <c r="LZZ129" s="3"/>
      <c r="MAA129" s="3"/>
      <c r="MAB129" s="3"/>
      <c r="MAC129" s="3"/>
      <c r="MAD129" s="3"/>
      <c r="MAE129" s="3"/>
      <c r="MAF129" s="3"/>
      <c r="MAG129" s="3"/>
      <c r="MAH129" s="3"/>
      <c r="MAI129" s="3"/>
      <c r="MAJ129" s="3"/>
      <c r="MAK129" s="3"/>
      <c r="MAL129" s="3"/>
      <c r="MAM129" s="3"/>
      <c r="MAN129" s="3"/>
      <c r="MAO129" s="3"/>
      <c r="MAP129" s="3"/>
      <c r="MAQ129" s="3"/>
      <c r="MAR129" s="3"/>
      <c r="MAS129" s="3"/>
      <c r="MAT129" s="3"/>
      <c r="MAU129" s="3"/>
      <c r="MAV129" s="3"/>
      <c r="MAW129" s="3"/>
      <c r="MAX129" s="3"/>
      <c r="MAY129" s="3"/>
      <c r="MAZ129" s="3"/>
      <c r="MBA129" s="3"/>
      <c r="MBB129" s="3"/>
      <c r="MBC129" s="3"/>
      <c r="MBD129" s="3"/>
      <c r="MBE129" s="3"/>
      <c r="MBF129" s="3"/>
      <c r="MBG129" s="3"/>
      <c r="MBH129" s="3"/>
      <c r="MBI129" s="3"/>
      <c r="MBJ129" s="3"/>
      <c r="MBK129" s="3"/>
      <c r="MBL129" s="3"/>
      <c r="MBM129" s="3"/>
      <c r="MBN129" s="3"/>
      <c r="MBO129" s="3"/>
      <c r="MBP129" s="3"/>
      <c r="MBQ129" s="3"/>
      <c r="MBR129" s="3"/>
      <c r="MBS129" s="3"/>
      <c r="MBT129" s="3"/>
      <c r="MBU129" s="3"/>
      <c r="MBV129" s="3"/>
      <c r="MBW129" s="3"/>
      <c r="MBX129" s="3"/>
      <c r="MBY129" s="3"/>
      <c r="MBZ129" s="3"/>
      <c r="MCA129" s="3"/>
      <c r="MCB129" s="3"/>
      <c r="MCC129" s="3"/>
      <c r="MCD129" s="3"/>
      <c r="MCE129" s="3"/>
      <c r="MCF129" s="3"/>
      <c r="MCG129" s="3"/>
      <c r="MCH129" s="3"/>
      <c r="MCI129" s="3"/>
      <c r="MCJ129" s="3"/>
      <c r="MCK129" s="3"/>
      <c r="MCL129" s="3"/>
      <c r="MCM129" s="3"/>
      <c r="MCN129" s="3"/>
      <c r="MCO129" s="3"/>
      <c r="MCP129" s="3"/>
      <c r="MCQ129" s="3"/>
      <c r="MCR129" s="3"/>
      <c r="MCS129" s="3"/>
      <c r="MCT129" s="3"/>
      <c r="MCU129" s="3"/>
      <c r="MCV129" s="3"/>
      <c r="MCW129" s="3"/>
      <c r="MCX129" s="3"/>
      <c r="MCY129" s="3"/>
      <c r="MCZ129" s="3"/>
      <c r="MDA129" s="3"/>
      <c r="MDB129" s="3"/>
      <c r="MDC129" s="3"/>
      <c r="MDD129" s="3"/>
      <c r="MDE129" s="3"/>
      <c r="MDF129" s="3"/>
      <c r="MDG129" s="3"/>
      <c r="MDH129" s="3"/>
      <c r="MDI129" s="3"/>
      <c r="MDJ129" s="3"/>
      <c r="MDK129" s="3"/>
      <c r="MDL129" s="3"/>
      <c r="MDM129" s="3"/>
      <c r="MDN129" s="3"/>
      <c r="MDO129" s="3"/>
      <c r="MDP129" s="3"/>
      <c r="MDQ129" s="3"/>
      <c r="MDR129" s="3"/>
      <c r="MDS129" s="3"/>
      <c r="MDT129" s="3"/>
      <c r="MDU129" s="3"/>
      <c r="MDV129" s="3"/>
      <c r="MDW129" s="3"/>
      <c r="MDX129" s="3"/>
      <c r="MDY129" s="3"/>
      <c r="MDZ129" s="3"/>
      <c r="MEA129" s="3"/>
      <c r="MEB129" s="3"/>
      <c r="MEC129" s="3"/>
      <c r="MED129" s="3"/>
      <c r="MEE129" s="3"/>
      <c r="MEF129" s="3"/>
      <c r="MEG129" s="3"/>
      <c r="MEH129" s="3"/>
      <c r="MEI129" s="3"/>
      <c r="MEJ129" s="3"/>
      <c r="MEK129" s="3"/>
      <c r="MEL129" s="3"/>
      <c r="MEM129" s="3"/>
      <c r="MEN129" s="3"/>
      <c r="MEO129" s="3"/>
      <c r="MEP129" s="3"/>
      <c r="MEQ129" s="3"/>
      <c r="MER129" s="3"/>
      <c r="MES129" s="3"/>
      <c r="MET129" s="3"/>
      <c r="MEU129" s="3"/>
      <c r="MEV129" s="3"/>
      <c r="MEW129" s="3"/>
      <c r="MEX129" s="3"/>
      <c r="MEY129" s="3"/>
      <c r="MEZ129" s="3"/>
      <c r="MFA129" s="3"/>
      <c r="MFB129" s="3"/>
      <c r="MFC129" s="3"/>
      <c r="MFD129" s="3"/>
      <c r="MFE129" s="3"/>
      <c r="MFF129" s="3"/>
      <c r="MFG129" s="3"/>
      <c r="MFH129" s="3"/>
      <c r="MFI129" s="3"/>
      <c r="MFJ129" s="3"/>
      <c r="MFK129" s="3"/>
      <c r="MFL129" s="3"/>
      <c r="MFM129" s="3"/>
      <c r="MFN129" s="3"/>
      <c r="MFO129" s="3"/>
      <c r="MFP129" s="3"/>
      <c r="MFQ129" s="3"/>
      <c r="MFR129" s="3"/>
      <c r="MFS129" s="3"/>
      <c r="MFT129" s="3"/>
      <c r="MFU129" s="3"/>
      <c r="MFV129" s="3"/>
      <c r="MFW129" s="3"/>
      <c r="MFX129" s="3"/>
      <c r="MFY129" s="3"/>
      <c r="MFZ129" s="3"/>
      <c r="MGA129" s="3"/>
      <c r="MGB129" s="3"/>
      <c r="MGC129" s="3"/>
      <c r="MGD129" s="3"/>
      <c r="MGE129" s="3"/>
      <c r="MGF129" s="3"/>
      <c r="MGG129" s="3"/>
      <c r="MGH129" s="3"/>
      <c r="MGI129" s="3"/>
      <c r="MGJ129" s="3"/>
      <c r="MGK129" s="3"/>
      <c r="MGL129" s="3"/>
      <c r="MGM129" s="3"/>
      <c r="MGN129" s="3"/>
      <c r="MGO129" s="3"/>
      <c r="MGP129" s="3"/>
      <c r="MGQ129" s="3"/>
      <c r="MGR129" s="3"/>
      <c r="MGS129" s="3"/>
      <c r="MGT129" s="3"/>
      <c r="MGU129" s="3"/>
      <c r="MGV129" s="3"/>
      <c r="MGW129" s="3"/>
      <c r="MGX129" s="3"/>
      <c r="MGY129" s="3"/>
      <c r="MGZ129" s="3"/>
      <c r="MHA129" s="3"/>
      <c r="MHB129" s="3"/>
      <c r="MHC129" s="3"/>
      <c r="MHD129" s="3"/>
      <c r="MHE129" s="3"/>
      <c r="MHF129" s="3"/>
      <c r="MHG129" s="3"/>
      <c r="MHH129" s="3"/>
      <c r="MHI129" s="3"/>
      <c r="MHJ129" s="3"/>
      <c r="MHK129" s="3"/>
      <c r="MHL129" s="3"/>
      <c r="MHM129" s="3"/>
      <c r="MHN129" s="3"/>
      <c r="MHO129" s="3"/>
      <c r="MHP129" s="3"/>
      <c r="MHQ129" s="3"/>
      <c r="MHR129" s="3"/>
      <c r="MHS129" s="3"/>
      <c r="MHT129" s="3"/>
      <c r="MHU129" s="3"/>
      <c r="MHV129" s="3"/>
      <c r="MHW129" s="3"/>
      <c r="MHX129" s="3"/>
      <c r="MHY129" s="3"/>
      <c r="MHZ129" s="3"/>
      <c r="MIA129" s="3"/>
      <c r="MIB129" s="3"/>
      <c r="MIC129" s="3"/>
      <c r="MID129" s="3"/>
      <c r="MIE129" s="3"/>
      <c r="MIF129" s="3"/>
      <c r="MIG129" s="3"/>
      <c r="MIH129" s="3"/>
      <c r="MII129" s="3"/>
      <c r="MIJ129" s="3"/>
      <c r="MIK129" s="3"/>
      <c r="MIL129" s="3"/>
      <c r="MIM129" s="3"/>
      <c r="MIN129" s="3"/>
      <c r="MIO129" s="3"/>
      <c r="MIP129" s="3"/>
      <c r="MIQ129" s="3"/>
      <c r="MIR129" s="3"/>
      <c r="MIS129" s="3"/>
      <c r="MIT129" s="3"/>
      <c r="MIU129" s="3"/>
      <c r="MIV129" s="3"/>
      <c r="MIW129" s="3"/>
      <c r="MIX129" s="3"/>
      <c r="MIY129" s="3"/>
      <c r="MIZ129" s="3"/>
      <c r="MJA129" s="3"/>
      <c r="MJB129" s="3"/>
      <c r="MJC129" s="3"/>
      <c r="MJD129" s="3"/>
      <c r="MJE129" s="3"/>
      <c r="MJF129" s="3"/>
      <c r="MJG129" s="3"/>
      <c r="MJH129" s="3"/>
      <c r="MJI129" s="3"/>
      <c r="MJJ129" s="3"/>
      <c r="MJK129" s="3"/>
      <c r="MJL129" s="3"/>
      <c r="MJM129" s="3"/>
      <c r="MJN129" s="3"/>
      <c r="MJO129" s="3"/>
      <c r="MJP129" s="3"/>
      <c r="MJQ129" s="3"/>
      <c r="MJR129" s="3"/>
      <c r="MJS129" s="3"/>
      <c r="MJT129" s="3"/>
      <c r="MJU129" s="3"/>
      <c r="MJV129" s="3"/>
      <c r="MJW129" s="3"/>
      <c r="MJX129" s="3"/>
      <c r="MJY129" s="3"/>
      <c r="MJZ129" s="3"/>
      <c r="MKA129" s="3"/>
      <c r="MKB129" s="3"/>
      <c r="MKC129" s="3"/>
      <c r="MKD129" s="3"/>
      <c r="MKE129" s="3"/>
      <c r="MKF129" s="3"/>
      <c r="MKG129" s="3"/>
      <c r="MKH129" s="3"/>
      <c r="MKI129" s="3"/>
      <c r="MKJ129" s="3"/>
      <c r="MKK129" s="3"/>
      <c r="MKL129" s="3"/>
      <c r="MKM129" s="3"/>
      <c r="MKN129" s="3"/>
      <c r="MKO129" s="3"/>
      <c r="MKP129" s="3"/>
      <c r="MKQ129" s="3"/>
      <c r="MKR129" s="3"/>
      <c r="MKS129" s="3"/>
      <c r="MKT129" s="3"/>
      <c r="MKU129" s="3"/>
      <c r="MKV129" s="3"/>
      <c r="MKW129" s="3"/>
      <c r="MKX129" s="3"/>
      <c r="MKY129" s="3"/>
      <c r="MKZ129" s="3"/>
      <c r="MLA129" s="3"/>
      <c r="MLB129" s="3"/>
      <c r="MLC129" s="3"/>
      <c r="MLD129" s="3"/>
      <c r="MLE129" s="3"/>
      <c r="MLF129" s="3"/>
      <c r="MLG129" s="3"/>
      <c r="MLH129" s="3"/>
      <c r="MLI129" s="3"/>
      <c r="MLJ129" s="3"/>
      <c r="MLK129" s="3"/>
      <c r="MLL129" s="3"/>
      <c r="MLM129" s="3"/>
      <c r="MLN129" s="3"/>
      <c r="MLO129" s="3"/>
      <c r="MLP129" s="3"/>
      <c r="MLQ129" s="3"/>
      <c r="MLR129" s="3"/>
      <c r="MLS129" s="3"/>
      <c r="MLT129" s="3"/>
      <c r="MLU129" s="3"/>
      <c r="MLV129" s="3"/>
      <c r="MLW129" s="3"/>
      <c r="MLX129" s="3"/>
      <c r="MLY129" s="3"/>
      <c r="MLZ129" s="3"/>
      <c r="MMA129" s="3"/>
      <c r="MMB129" s="3"/>
      <c r="MMC129" s="3"/>
      <c r="MMD129" s="3"/>
      <c r="MME129" s="3"/>
      <c r="MMF129" s="3"/>
      <c r="MMG129" s="3"/>
      <c r="MMH129" s="3"/>
      <c r="MMI129" s="3"/>
      <c r="MMJ129" s="3"/>
      <c r="MMK129" s="3"/>
      <c r="MML129" s="3"/>
      <c r="MMM129" s="3"/>
      <c r="MMN129" s="3"/>
      <c r="MMO129" s="3"/>
      <c r="MMP129" s="3"/>
      <c r="MMQ129" s="3"/>
      <c r="MMR129" s="3"/>
      <c r="MMS129" s="3"/>
      <c r="MMT129" s="3"/>
      <c r="MMU129" s="3"/>
      <c r="MMV129" s="3"/>
      <c r="MMW129" s="3"/>
      <c r="MMX129" s="3"/>
      <c r="MMY129" s="3"/>
      <c r="MMZ129" s="3"/>
      <c r="MNA129" s="3"/>
      <c r="MNB129" s="3"/>
      <c r="MNC129" s="3"/>
      <c r="MND129" s="3"/>
      <c r="MNE129" s="3"/>
      <c r="MNF129" s="3"/>
      <c r="MNG129" s="3"/>
      <c r="MNH129" s="3"/>
      <c r="MNI129" s="3"/>
      <c r="MNJ129" s="3"/>
      <c r="MNK129" s="3"/>
      <c r="MNL129" s="3"/>
      <c r="MNM129" s="3"/>
      <c r="MNN129" s="3"/>
      <c r="MNO129" s="3"/>
      <c r="MNP129" s="3"/>
      <c r="MNQ129" s="3"/>
      <c r="MNR129" s="3"/>
      <c r="MNS129" s="3"/>
      <c r="MNT129" s="3"/>
      <c r="MNU129" s="3"/>
      <c r="MNV129" s="3"/>
      <c r="MNW129" s="3"/>
      <c r="MNX129" s="3"/>
      <c r="MNY129" s="3"/>
      <c r="MNZ129" s="3"/>
      <c r="MOA129" s="3"/>
      <c r="MOB129" s="3"/>
      <c r="MOC129" s="3"/>
      <c r="MOD129" s="3"/>
      <c r="MOE129" s="3"/>
      <c r="MOF129" s="3"/>
      <c r="MOG129" s="3"/>
      <c r="MOH129" s="3"/>
      <c r="MOI129" s="3"/>
      <c r="MOJ129" s="3"/>
      <c r="MOK129" s="3"/>
      <c r="MOL129" s="3"/>
      <c r="MOM129" s="3"/>
      <c r="MON129" s="3"/>
      <c r="MOO129" s="3"/>
      <c r="MOP129" s="3"/>
      <c r="MOQ129" s="3"/>
      <c r="MOR129" s="3"/>
      <c r="MOS129" s="3"/>
      <c r="MOT129" s="3"/>
      <c r="MOU129" s="3"/>
      <c r="MOV129" s="3"/>
      <c r="MOW129" s="3"/>
      <c r="MOX129" s="3"/>
      <c r="MOY129" s="3"/>
      <c r="MOZ129" s="3"/>
      <c r="MPA129" s="3"/>
      <c r="MPB129" s="3"/>
      <c r="MPC129" s="3"/>
      <c r="MPD129" s="3"/>
      <c r="MPE129" s="3"/>
      <c r="MPF129" s="3"/>
      <c r="MPG129" s="3"/>
      <c r="MPH129" s="3"/>
      <c r="MPI129" s="3"/>
      <c r="MPJ129" s="3"/>
      <c r="MPK129" s="3"/>
      <c r="MPL129" s="3"/>
      <c r="MPM129" s="3"/>
      <c r="MPN129" s="3"/>
      <c r="MPO129" s="3"/>
      <c r="MPP129" s="3"/>
      <c r="MPQ129" s="3"/>
      <c r="MPR129" s="3"/>
      <c r="MPS129" s="3"/>
      <c r="MPT129" s="3"/>
      <c r="MPU129" s="3"/>
      <c r="MPV129" s="3"/>
      <c r="MPW129" s="3"/>
      <c r="MPX129" s="3"/>
      <c r="MPY129" s="3"/>
      <c r="MPZ129" s="3"/>
      <c r="MQA129" s="3"/>
      <c r="MQB129" s="3"/>
      <c r="MQC129" s="3"/>
      <c r="MQD129" s="3"/>
      <c r="MQE129" s="3"/>
      <c r="MQF129" s="3"/>
      <c r="MQG129" s="3"/>
      <c r="MQH129" s="3"/>
      <c r="MQI129" s="3"/>
      <c r="MQJ129" s="3"/>
      <c r="MQK129" s="3"/>
      <c r="MQL129" s="3"/>
      <c r="MQM129" s="3"/>
      <c r="MQN129" s="3"/>
      <c r="MQO129" s="3"/>
      <c r="MQP129" s="3"/>
      <c r="MQQ129" s="3"/>
      <c r="MQR129" s="3"/>
      <c r="MQS129" s="3"/>
      <c r="MQT129" s="3"/>
      <c r="MQU129" s="3"/>
      <c r="MQV129" s="3"/>
      <c r="MQW129" s="3"/>
      <c r="MQX129" s="3"/>
      <c r="MQY129" s="3"/>
      <c r="MQZ129" s="3"/>
      <c r="MRA129" s="3"/>
      <c r="MRB129" s="3"/>
      <c r="MRC129" s="3"/>
      <c r="MRD129" s="3"/>
      <c r="MRE129" s="3"/>
      <c r="MRF129" s="3"/>
      <c r="MRG129" s="3"/>
      <c r="MRH129" s="3"/>
      <c r="MRI129" s="3"/>
      <c r="MRJ129" s="3"/>
      <c r="MRK129" s="3"/>
      <c r="MRL129" s="3"/>
      <c r="MRM129" s="3"/>
      <c r="MRN129" s="3"/>
      <c r="MRO129" s="3"/>
      <c r="MRP129" s="3"/>
      <c r="MRQ129" s="3"/>
      <c r="MRR129" s="3"/>
      <c r="MRS129" s="3"/>
      <c r="MRT129" s="3"/>
      <c r="MRU129" s="3"/>
      <c r="MRV129" s="3"/>
      <c r="MRW129" s="3"/>
      <c r="MRX129" s="3"/>
      <c r="MRY129" s="3"/>
      <c r="MRZ129" s="3"/>
      <c r="MSA129" s="3"/>
      <c r="MSB129" s="3"/>
      <c r="MSC129" s="3"/>
      <c r="MSD129" s="3"/>
      <c r="MSE129" s="3"/>
      <c r="MSF129" s="3"/>
      <c r="MSG129" s="3"/>
      <c r="MSH129" s="3"/>
      <c r="MSI129" s="3"/>
      <c r="MSJ129" s="3"/>
      <c r="MSK129" s="3"/>
      <c r="MSL129" s="3"/>
      <c r="MSM129" s="3"/>
      <c r="MSN129" s="3"/>
      <c r="MSO129" s="3"/>
      <c r="MSP129" s="3"/>
      <c r="MSQ129" s="3"/>
      <c r="MSR129" s="3"/>
      <c r="MSS129" s="3"/>
      <c r="MST129" s="3"/>
      <c r="MSU129" s="3"/>
      <c r="MSV129" s="3"/>
      <c r="MSW129" s="3"/>
      <c r="MSX129" s="3"/>
      <c r="MSY129" s="3"/>
      <c r="MSZ129" s="3"/>
      <c r="MTA129" s="3"/>
      <c r="MTB129" s="3"/>
      <c r="MTC129" s="3"/>
      <c r="MTD129" s="3"/>
      <c r="MTE129" s="3"/>
      <c r="MTF129" s="3"/>
      <c r="MTG129" s="3"/>
      <c r="MTH129" s="3"/>
      <c r="MTI129" s="3"/>
      <c r="MTJ129" s="3"/>
      <c r="MTK129" s="3"/>
      <c r="MTL129" s="3"/>
      <c r="MTM129" s="3"/>
      <c r="MTN129" s="3"/>
      <c r="MTO129" s="3"/>
      <c r="MTP129" s="3"/>
      <c r="MTQ129" s="3"/>
      <c r="MTR129" s="3"/>
      <c r="MTS129" s="3"/>
      <c r="MTT129" s="3"/>
      <c r="MTU129" s="3"/>
      <c r="MTV129" s="3"/>
      <c r="MTW129" s="3"/>
      <c r="MTX129" s="3"/>
      <c r="MTY129" s="3"/>
      <c r="MTZ129" s="3"/>
      <c r="MUA129" s="3"/>
      <c r="MUB129" s="3"/>
      <c r="MUC129" s="3"/>
      <c r="MUD129" s="3"/>
      <c r="MUE129" s="3"/>
      <c r="MUF129" s="3"/>
      <c r="MUG129" s="3"/>
      <c r="MUH129" s="3"/>
      <c r="MUI129" s="3"/>
      <c r="MUJ129" s="3"/>
      <c r="MUK129" s="3"/>
      <c r="MUL129" s="3"/>
      <c r="MUM129" s="3"/>
      <c r="MUN129" s="3"/>
      <c r="MUO129" s="3"/>
      <c r="MUP129" s="3"/>
      <c r="MUQ129" s="3"/>
      <c r="MUR129" s="3"/>
      <c r="MUS129" s="3"/>
      <c r="MUT129" s="3"/>
      <c r="MUU129" s="3"/>
      <c r="MUV129" s="3"/>
      <c r="MUW129" s="3"/>
      <c r="MUX129" s="3"/>
      <c r="MUY129" s="3"/>
      <c r="MUZ129" s="3"/>
      <c r="MVA129" s="3"/>
      <c r="MVB129" s="3"/>
      <c r="MVC129" s="3"/>
      <c r="MVD129" s="3"/>
      <c r="MVE129" s="3"/>
      <c r="MVF129" s="3"/>
      <c r="MVG129" s="3"/>
      <c r="MVH129" s="3"/>
      <c r="MVI129" s="3"/>
      <c r="MVJ129" s="3"/>
      <c r="MVK129" s="3"/>
      <c r="MVL129" s="3"/>
      <c r="MVM129" s="3"/>
      <c r="MVN129" s="3"/>
      <c r="MVO129" s="3"/>
      <c r="MVP129" s="3"/>
      <c r="MVQ129" s="3"/>
      <c r="MVR129" s="3"/>
      <c r="MVS129" s="3"/>
      <c r="MVT129" s="3"/>
      <c r="MVU129" s="3"/>
      <c r="MVV129" s="3"/>
      <c r="MVW129" s="3"/>
      <c r="MVX129" s="3"/>
      <c r="MVY129" s="3"/>
      <c r="MVZ129" s="3"/>
      <c r="MWA129" s="3"/>
      <c r="MWB129" s="3"/>
      <c r="MWC129" s="3"/>
      <c r="MWD129" s="3"/>
      <c r="MWE129" s="3"/>
      <c r="MWF129" s="3"/>
      <c r="MWG129" s="3"/>
      <c r="MWH129" s="3"/>
      <c r="MWI129" s="3"/>
      <c r="MWJ129" s="3"/>
      <c r="MWK129" s="3"/>
      <c r="MWL129" s="3"/>
      <c r="MWM129" s="3"/>
      <c r="MWN129" s="3"/>
      <c r="MWO129" s="3"/>
      <c r="MWP129" s="3"/>
      <c r="MWQ129" s="3"/>
      <c r="MWR129" s="3"/>
      <c r="MWS129" s="3"/>
      <c r="MWT129" s="3"/>
      <c r="MWU129" s="3"/>
      <c r="MWV129" s="3"/>
      <c r="MWW129" s="3"/>
      <c r="MWX129" s="3"/>
      <c r="MWY129" s="3"/>
      <c r="MWZ129" s="3"/>
      <c r="MXA129" s="3"/>
      <c r="MXB129" s="3"/>
      <c r="MXC129" s="3"/>
      <c r="MXD129" s="3"/>
      <c r="MXE129" s="3"/>
      <c r="MXF129" s="3"/>
      <c r="MXG129" s="3"/>
      <c r="MXH129" s="3"/>
      <c r="MXI129" s="3"/>
      <c r="MXJ129" s="3"/>
      <c r="MXK129" s="3"/>
      <c r="MXL129" s="3"/>
      <c r="MXM129" s="3"/>
      <c r="MXN129" s="3"/>
      <c r="MXO129" s="3"/>
      <c r="MXP129" s="3"/>
      <c r="MXQ129" s="3"/>
      <c r="MXR129" s="3"/>
      <c r="MXS129" s="3"/>
      <c r="MXT129" s="3"/>
      <c r="MXU129" s="3"/>
      <c r="MXV129" s="3"/>
      <c r="MXW129" s="3"/>
      <c r="MXX129" s="3"/>
      <c r="MXY129" s="3"/>
      <c r="MXZ129" s="3"/>
      <c r="MYA129" s="3"/>
      <c r="MYB129" s="3"/>
      <c r="MYC129" s="3"/>
      <c r="MYD129" s="3"/>
      <c r="MYE129" s="3"/>
      <c r="MYF129" s="3"/>
      <c r="MYG129" s="3"/>
      <c r="MYH129" s="3"/>
      <c r="MYI129" s="3"/>
      <c r="MYJ129" s="3"/>
      <c r="MYK129" s="3"/>
      <c r="MYL129" s="3"/>
      <c r="MYM129" s="3"/>
      <c r="MYN129" s="3"/>
      <c r="MYO129" s="3"/>
      <c r="MYP129" s="3"/>
      <c r="MYQ129" s="3"/>
      <c r="MYR129" s="3"/>
      <c r="MYS129" s="3"/>
      <c r="MYT129" s="3"/>
      <c r="MYU129" s="3"/>
      <c r="MYV129" s="3"/>
      <c r="MYW129" s="3"/>
      <c r="MYX129" s="3"/>
      <c r="MYY129" s="3"/>
      <c r="MYZ129" s="3"/>
      <c r="MZA129" s="3"/>
      <c r="MZB129" s="3"/>
      <c r="MZC129" s="3"/>
      <c r="MZD129" s="3"/>
      <c r="MZE129" s="3"/>
      <c r="MZF129" s="3"/>
      <c r="MZG129" s="3"/>
      <c r="MZH129" s="3"/>
      <c r="MZI129" s="3"/>
      <c r="MZJ129" s="3"/>
      <c r="MZK129" s="3"/>
      <c r="MZL129" s="3"/>
      <c r="MZM129" s="3"/>
      <c r="MZN129" s="3"/>
      <c r="MZO129" s="3"/>
      <c r="MZP129" s="3"/>
      <c r="MZQ129" s="3"/>
      <c r="MZR129" s="3"/>
      <c r="MZS129" s="3"/>
      <c r="MZT129" s="3"/>
      <c r="MZU129" s="3"/>
      <c r="MZV129" s="3"/>
      <c r="MZW129" s="3"/>
      <c r="MZX129" s="3"/>
      <c r="MZY129" s="3"/>
      <c r="MZZ129" s="3"/>
      <c r="NAA129" s="3"/>
      <c r="NAB129" s="3"/>
      <c r="NAC129" s="3"/>
      <c r="NAD129" s="3"/>
      <c r="NAE129" s="3"/>
      <c r="NAF129" s="3"/>
      <c r="NAG129" s="3"/>
      <c r="NAH129" s="3"/>
      <c r="NAI129" s="3"/>
      <c r="NAJ129" s="3"/>
      <c r="NAK129" s="3"/>
      <c r="NAL129" s="3"/>
      <c r="NAM129" s="3"/>
      <c r="NAN129" s="3"/>
      <c r="NAO129" s="3"/>
      <c r="NAP129" s="3"/>
      <c r="NAQ129" s="3"/>
      <c r="NAR129" s="3"/>
      <c r="NAS129" s="3"/>
      <c r="NAT129" s="3"/>
      <c r="NAU129" s="3"/>
      <c r="NAV129" s="3"/>
      <c r="NAW129" s="3"/>
      <c r="NAX129" s="3"/>
      <c r="NAY129" s="3"/>
      <c r="NAZ129" s="3"/>
      <c r="NBA129" s="3"/>
      <c r="NBB129" s="3"/>
      <c r="NBC129" s="3"/>
      <c r="NBD129" s="3"/>
      <c r="NBE129" s="3"/>
      <c r="NBF129" s="3"/>
      <c r="NBG129" s="3"/>
      <c r="NBH129" s="3"/>
      <c r="NBI129" s="3"/>
      <c r="NBJ129" s="3"/>
      <c r="NBK129" s="3"/>
      <c r="NBL129" s="3"/>
      <c r="NBM129" s="3"/>
      <c r="NBN129" s="3"/>
      <c r="NBO129" s="3"/>
      <c r="NBP129" s="3"/>
      <c r="NBQ129" s="3"/>
      <c r="NBR129" s="3"/>
      <c r="NBS129" s="3"/>
      <c r="NBT129" s="3"/>
      <c r="NBU129" s="3"/>
      <c r="NBV129" s="3"/>
      <c r="NBW129" s="3"/>
      <c r="NBX129" s="3"/>
      <c r="NBY129" s="3"/>
      <c r="NBZ129" s="3"/>
      <c r="NCA129" s="3"/>
      <c r="NCB129" s="3"/>
      <c r="NCC129" s="3"/>
      <c r="NCD129" s="3"/>
      <c r="NCE129" s="3"/>
      <c r="NCF129" s="3"/>
      <c r="NCG129" s="3"/>
      <c r="NCH129" s="3"/>
      <c r="NCI129" s="3"/>
      <c r="NCJ129" s="3"/>
      <c r="NCK129" s="3"/>
      <c r="NCL129" s="3"/>
      <c r="NCM129" s="3"/>
      <c r="NCN129" s="3"/>
      <c r="NCO129" s="3"/>
      <c r="NCP129" s="3"/>
      <c r="NCQ129" s="3"/>
      <c r="NCR129" s="3"/>
      <c r="NCS129" s="3"/>
      <c r="NCT129" s="3"/>
      <c r="NCU129" s="3"/>
      <c r="NCV129" s="3"/>
      <c r="NCW129" s="3"/>
      <c r="NCX129" s="3"/>
      <c r="NCY129" s="3"/>
      <c r="NCZ129" s="3"/>
      <c r="NDA129" s="3"/>
      <c r="NDB129" s="3"/>
      <c r="NDC129" s="3"/>
      <c r="NDD129" s="3"/>
      <c r="NDE129" s="3"/>
      <c r="NDF129" s="3"/>
      <c r="NDG129" s="3"/>
      <c r="NDH129" s="3"/>
      <c r="NDI129" s="3"/>
      <c r="NDJ129" s="3"/>
      <c r="NDK129" s="3"/>
      <c r="NDL129" s="3"/>
      <c r="NDM129" s="3"/>
      <c r="NDN129" s="3"/>
      <c r="NDO129" s="3"/>
      <c r="NDP129" s="3"/>
      <c r="NDQ129" s="3"/>
      <c r="NDR129" s="3"/>
      <c r="NDS129" s="3"/>
      <c r="NDT129" s="3"/>
      <c r="NDU129" s="3"/>
      <c r="NDV129" s="3"/>
      <c r="NDW129" s="3"/>
      <c r="NDX129" s="3"/>
      <c r="NDY129" s="3"/>
      <c r="NDZ129" s="3"/>
      <c r="NEA129" s="3"/>
      <c r="NEB129" s="3"/>
      <c r="NEC129" s="3"/>
      <c r="NED129" s="3"/>
      <c r="NEE129" s="3"/>
      <c r="NEF129" s="3"/>
      <c r="NEG129" s="3"/>
      <c r="NEH129" s="3"/>
      <c r="NEI129" s="3"/>
      <c r="NEJ129" s="3"/>
      <c r="NEK129" s="3"/>
      <c r="NEL129" s="3"/>
      <c r="NEM129" s="3"/>
      <c r="NEN129" s="3"/>
      <c r="NEO129" s="3"/>
      <c r="NEP129" s="3"/>
      <c r="NEQ129" s="3"/>
      <c r="NER129" s="3"/>
      <c r="NES129" s="3"/>
      <c r="NET129" s="3"/>
      <c r="NEU129" s="3"/>
      <c r="NEV129" s="3"/>
      <c r="NEW129" s="3"/>
      <c r="NEX129" s="3"/>
      <c r="NEY129" s="3"/>
      <c r="NEZ129" s="3"/>
      <c r="NFA129" s="3"/>
      <c r="NFB129" s="3"/>
      <c r="NFC129" s="3"/>
      <c r="NFD129" s="3"/>
      <c r="NFE129" s="3"/>
      <c r="NFF129" s="3"/>
      <c r="NFG129" s="3"/>
      <c r="NFH129" s="3"/>
      <c r="NFI129" s="3"/>
      <c r="NFJ129" s="3"/>
      <c r="NFK129" s="3"/>
      <c r="NFL129" s="3"/>
      <c r="NFM129" s="3"/>
      <c r="NFN129" s="3"/>
      <c r="NFO129" s="3"/>
      <c r="NFP129" s="3"/>
      <c r="NFQ129" s="3"/>
      <c r="NFR129" s="3"/>
      <c r="NFS129" s="3"/>
      <c r="NFT129" s="3"/>
      <c r="NFU129" s="3"/>
      <c r="NFV129" s="3"/>
      <c r="NFW129" s="3"/>
      <c r="NFX129" s="3"/>
      <c r="NFY129" s="3"/>
      <c r="NFZ129" s="3"/>
      <c r="NGA129" s="3"/>
      <c r="NGB129" s="3"/>
      <c r="NGC129" s="3"/>
      <c r="NGD129" s="3"/>
      <c r="NGE129" s="3"/>
      <c r="NGF129" s="3"/>
      <c r="NGG129" s="3"/>
      <c r="NGH129" s="3"/>
      <c r="NGI129" s="3"/>
      <c r="NGJ129" s="3"/>
      <c r="NGK129" s="3"/>
      <c r="NGL129" s="3"/>
      <c r="NGM129" s="3"/>
      <c r="NGN129" s="3"/>
      <c r="NGO129" s="3"/>
      <c r="NGP129" s="3"/>
      <c r="NGQ129" s="3"/>
      <c r="NGR129" s="3"/>
      <c r="NGS129" s="3"/>
      <c r="NGT129" s="3"/>
      <c r="NGU129" s="3"/>
      <c r="NGV129" s="3"/>
      <c r="NGW129" s="3"/>
      <c r="NGX129" s="3"/>
      <c r="NGY129" s="3"/>
      <c r="NGZ129" s="3"/>
      <c r="NHA129" s="3"/>
      <c r="NHB129" s="3"/>
      <c r="NHC129" s="3"/>
      <c r="NHD129" s="3"/>
      <c r="NHE129" s="3"/>
      <c r="NHF129" s="3"/>
      <c r="NHG129" s="3"/>
      <c r="NHH129" s="3"/>
      <c r="NHI129" s="3"/>
      <c r="NHJ129" s="3"/>
      <c r="NHK129" s="3"/>
      <c r="NHL129" s="3"/>
      <c r="NHM129" s="3"/>
      <c r="NHN129" s="3"/>
      <c r="NHO129" s="3"/>
      <c r="NHP129" s="3"/>
      <c r="NHQ129" s="3"/>
      <c r="NHR129" s="3"/>
      <c r="NHS129" s="3"/>
      <c r="NHT129" s="3"/>
      <c r="NHU129" s="3"/>
      <c r="NHV129" s="3"/>
      <c r="NHW129" s="3"/>
      <c r="NHX129" s="3"/>
      <c r="NHY129" s="3"/>
      <c r="NHZ129" s="3"/>
      <c r="NIA129" s="3"/>
      <c r="NIB129" s="3"/>
      <c r="NIC129" s="3"/>
      <c r="NID129" s="3"/>
      <c r="NIE129" s="3"/>
      <c r="NIF129" s="3"/>
      <c r="NIG129" s="3"/>
      <c r="NIH129" s="3"/>
      <c r="NII129" s="3"/>
      <c r="NIJ129" s="3"/>
      <c r="NIK129" s="3"/>
      <c r="NIL129" s="3"/>
      <c r="NIM129" s="3"/>
      <c r="NIN129" s="3"/>
      <c r="NIO129" s="3"/>
      <c r="NIP129" s="3"/>
      <c r="NIQ129" s="3"/>
      <c r="NIR129" s="3"/>
      <c r="NIS129" s="3"/>
      <c r="NIT129" s="3"/>
      <c r="NIU129" s="3"/>
      <c r="NIV129" s="3"/>
      <c r="NIW129" s="3"/>
      <c r="NIX129" s="3"/>
      <c r="NIY129" s="3"/>
      <c r="NIZ129" s="3"/>
      <c r="NJA129" s="3"/>
      <c r="NJB129" s="3"/>
      <c r="NJC129" s="3"/>
      <c r="NJD129" s="3"/>
      <c r="NJE129" s="3"/>
      <c r="NJF129" s="3"/>
      <c r="NJG129" s="3"/>
      <c r="NJH129" s="3"/>
      <c r="NJI129" s="3"/>
      <c r="NJJ129" s="3"/>
      <c r="NJK129" s="3"/>
      <c r="NJL129" s="3"/>
      <c r="NJM129" s="3"/>
      <c r="NJN129" s="3"/>
      <c r="NJO129" s="3"/>
      <c r="NJP129" s="3"/>
      <c r="NJQ129" s="3"/>
      <c r="NJR129" s="3"/>
      <c r="NJS129" s="3"/>
      <c r="NJT129" s="3"/>
      <c r="NJU129" s="3"/>
      <c r="NJV129" s="3"/>
      <c r="NJW129" s="3"/>
      <c r="NJX129" s="3"/>
      <c r="NJY129" s="3"/>
      <c r="NJZ129" s="3"/>
      <c r="NKA129" s="3"/>
      <c r="NKB129" s="3"/>
      <c r="NKC129" s="3"/>
      <c r="NKD129" s="3"/>
      <c r="NKE129" s="3"/>
      <c r="NKF129" s="3"/>
      <c r="NKG129" s="3"/>
      <c r="NKH129" s="3"/>
      <c r="NKI129" s="3"/>
      <c r="NKJ129" s="3"/>
      <c r="NKK129" s="3"/>
      <c r="NKL129" s="3"/>
      <c r="NKM129" s="3"/>
      <c r="NKN129" s="3"/>
      <c r="NKO129" s="3"/>
      <c r="NKP129" s="3"/>
      <c r="NKQ129" s="3"/>
      <c r="NKR129" s="3"/>
      <c r="NKS129" s="3"/>
      <c r="NKT129" s="3"/>
      <c r="NKU129" s="3"/>
      <c r="NKV129" s="3"/>
      <c r="NKW129" s="3"/>
      <c r="NKX129" s="3"/>
      <c r="NKY129" s="3"/>
      <c r="NKZ129" s="3"/>
      <c r="NLA129" s="3"/>
      <c r="NLB129" s="3"/>
      <c r="NLC129" s="3"/>
      <c r="NLD129" s="3"/>
      <c r="NLE129" s="3"/>
      <c r="NLF129" s="3"/>
      <c r="NLG129" s="3"/>
      <c r="NLH129" s="3"/>
      <c r="NLI129" s="3"/>
      <c r="NLJ129" s="3"/>
      <c r="NLK129" s="3"/>
      <c r="NLL129" s="3"/>
      <c r="NLM129" s="3"/>
      <c r="NLN129" s="3"/>
      <c r="NLO129" s="3"/>
      <c r="NLP129" s="3"/>
      <c r="NLQ129" s="3"/>
      <c r="NLR129" s="3"/>
      <c r="NLS129" s="3"/>
      <c r="NLT129" s="3"/>
      <c r="NLU129" s="3"/>
      <c r="NLV129" s="3"/>
      <c r="NLW129" s="3"/>
      <c r="NLX129" s="3"/>
      <c r="NLY129" s="3"/>
      <c r="NLZ129" s="3"/>
      <c r="NMA129" s="3"/>
      <c r="NMB129" s="3"/>
      <c r="NMC129" s="3"/>
      <c r="NMD129" s="3"/>
      <c r="NME129" s="3"/>
      <c r="NMF129" s="3"/>
      <c r="NMG129" s="3"/>
      <c r="NMH129" s="3"/>
      <c r="NMI129" s="3"/>
      <c r="NMJ129" s="3"/>
      <c r="NMK129" s="3"/>
      <c r="NML129" s="3"/>
      <c r="NMM129" s="3"/>
      <c r="NMN129" s="3"/>
      <c r="NMO129" s="3"/>
      <c r="NMP129" s="3"/>
      <c r="NMQ129" s="3"/>
      <c r="NMR129" s="3"/>
      <c r="NMS129" s="3"/>
      <c r="NMT129" s="3"/>
      <c r="NMU129" s="3"/>
      <c r="NMV129" s="3"/>
      <c r="NMW129" s="3"/>
      <c r="NMX129" s="3"/>
      <c r="NMY129" s="3"/>
      <c r="NMZ129" s="3"/>
      <c r="NNA129" s="3"/>
      <c r="NNB129" s="3"/>
      <c r="NNC129" s="3"/>
      <c r="NND129" s="3"/>
      <c r="NNE129" s="3"/>
      <c r="NNF129" s="3"/>
      <c r="NNG129" s="3"/>
      <c r="NNH129" s="3"/>
      <c r="NNI129" s="3"/>
      <c r="NNJ129" s="3"/>
      <c r="NNK129" s="3"/>
      <c r="NNL129" s="3"/>
      <c r="NNM129" s="3"/>
      <c r="NNN129" s="3"/>
      <c r="NNO129" s="3"/>
      <c r="NNP129" s="3"/>
      <c r="NNQ129" s="3"/>
      <c r="NNR129" s="3"/>
      <c r="NNS129" s="3"/>
      <c r="NNT129" s="3"/>
      <c r="NNU129" s="3"/>
      <c r="NNV129" s="3"/>
      <c r="NNW129" s="3"/>
      <c r="NNX129" s="3"/>
      <c r="NNY129" s="3"/>
      <c r="NNZ129" s="3"/>
      <c r="NOA129" s="3"/>
      <c r="NOB129" s="3"/>
      <c r="NOC129" s="3"/>
      <c r="NOD129" s="3"/>
      <c r="NOE129" s="3"/>
      <c r="NOF129" s="3"/>
      <c r="NOG129" s="3"/>
      <c r="NOH129" s="3"/>
      <c r="NOI129" s="3"/>
      <c r="NOJ129" s="3"/>
      <c r="NOK129" s="3"/>
      <c r="NOL129" s="3"/>
      <c r="NOM129" s="3"/>
      <c r="NON129" s="3"/>
      <c r="NOO129" s="3"/>
      <c r="NOP129" s="3"/>
      <c r="NOQ129" s="3"/>
      <c r="NOR129" s="3"/>
      <c r="NOS129" s="3"/>
      <c r="NOT129" s="3"/>
      <c r="NOU129" s="3"/>
      <c r="NOV129" s="3"/>
      <c r="NOW129" s="3"/>
      <c r="NOX129" s="3"/>
      <c r="NOY129" s="3"/>
      <c r="NOZ129" s="3"/>
      <c r="NPA129" s="3"/>
      <c r="NPB129" s="3"/>
      <c r="NPC129" s="3"/>
      <c r="NPD129" s="3"/>
      <c r="NPE129" s="3"/>
      <c r="NPF129" s="3"/>
      <c r="NPG129" s="3"/>
      <c r="NPH129" s="3"/>
      <c r="NPI129" s="3"/>
      <c r="NPJ129" s="3"/>
      <c r="NPK129" s="3"/>
      <c r="NPL129" s="3"/>
      <c r="NPM129" s="3"/>
      <c r="NPN129" s="3"/>
      <c r="NPO129" s="3"/>
      <c r="NPP129" s="3"/>
      <c r="NPQ129" s="3"/>
      <c r="NPR129" s="3"/>
      <c r="NPS129" s="3"/>
      <c r="NPT129" s="3"/>
      <c r="NPU129" s="3"/>
      <c r="NPV129" s="3"/>
      <c r="NPW129" s="3"/>
      <c r="NPX129" s="3"/>
      <c r="NPY129" s="3"/>
      <c r="NPZ129" s="3"/>
      <c r="NQA129" s="3"/>
      <c r="NQB129" s="3"/>
      <c r="NQC129" s="3"/>
      <c r="NQD129" s="3"/>
      <c r="NQE129" s="3"/>
      <c r="NQF129" s="3"/>
      <c r="NQG129" s="3"/>
      <c r="NQH129" s="3"/>
      <c r="NQI129" s="3"/>
      <c r="NQJ129" s="3"/>
      <c r="NQK129" s="3"/>
      <c r="NQL129" s="3"/>
      <c r="NQM129" s="3"/>
      <c r="NQN129" s="3"/>
      <c r="NQO129" s="3"/>
      <c r="NQP129" s="3"/>
      <c r="NQQ129" s="3"/>
      <c r="NQR129" s="3"/>
      <c r="NQS129" s="3"/>
      <c r="NQT129" s="3"/>
      <c r="NQU129" s="3"/>
      <c r="NQV129" s="3"/>
      <c r="NQW129" s="3"/>
      <c r="NQX129" s="3"/>
      <c r="NQY129" s="3"/>
      <c r="NQZ129" s="3"/>
      <c r="NRA129" s="3"/>
      <c r="NRB129" s="3"/>
      <c r="NRC129" s="3"/>
      <c r="NRD129" s="3"/>
      <c r="NRE129" s="3"/>
      <c r="NRF129" s="3"/>
      <c r="NRG129" s="3"/>
      <c r="NRH129" s="3"/>
      <c r="NRI129" s="3"/>
      <c r="NRJ129" s="3"/>
      <c r="NRK129" s="3"/>
      <c r="NRL129" s="3"/>
      <c r="NRM129" s="3"/>
      <c r="NRN129" s="3"/>
      <c r="NRO129" s="3"/>
      <c r="NRP129" s="3"/>
      <c r="NRQ129" s="3"/>
      <c r="NRR129" s="3"/>
      <c r="NRS129" s="3"/>
      <c r="NRT129" s="3"/>
      <c r="NRU129" s="3"/>
      <c r="NRV129" s="3"/>
      <c r="NRW129" s="3"/>
      <c r="NRX129" s="3"/>
      <c r="NRY129" s="3"/>
      <c r="NRZ129" s="3"/>
      <c r="NSA129" s="3"/>
      <c r="NSB129" s="3"/>
      <c r="NSC129" s="3"/>
      <c r="NSD129" s="3"/>
      <c r="NSE129" s="3"/>
      <c r="NSF129" s="3"/>
      <c r="NSG129" s="3"/>
      <c r="NSH129" s="3"/>
      <c r="NSI129" s="3"/>
      <c r="NSJ129" s="3"/>
      <c r="NSK129" s="3"/>
      <c r="NSL129" s="3"/>
      <c r="NSM129" s="3"/>
      <c r="NSN129" s="3"/>
      <c r="NSO129" s="3"/>
      <c r="NSP129" s="3"/>
      <c r="NSQ129" s="3"/>
      <c r="NSR129" s="3"/>
      <c r="NSS129" s="3"/>
      <c r="NST129" s="3"/>
      <c r="NSU129" s="3"/>
      <c r="NSV129" s="3"/>
      <c r="NSW129" s="3"/>
      <c r="NSX129" s="3"/>
      <c r="NSY129" s="3"/>
      <c r="NSZ129" s="3"/>
      <c r="NTA129" s="3"/>
      <c r="NTB129" s="3"/>
      <c r="NTC129" s="3"/>
      <c r="NTD129" s="3"/>
      <c r="NTE129" s="3"/>
      <c r="NTF129" s="3"/>
      <c r="NTG129" s="3"/>
      <c r="NTH129" s="3"/>
      <c r="NTI129" s="3"/>
      <c r="NTJ129" s="3"/>
      <c r="NTK129" s="3"/>
      <c r="NTL129" s="3"/>
      <c r="NTM129" s="3"/>
      <c r="NTN129" s="3"/>
      <c r="NTO129" s="3"/>
      <c r="NTP129" s="3"/>
      <c r="NTQ129" s="3"/>
      <c r="NTR129" s="3"/>
      <c r="NTS129" s="3"/>
      <c r="NTT129" s="3"/>
      <c r="NTU129" s="3"/>
      <c r="NTV129" s="3"/>
      <c r="NTW129" s="3"/>
      <c r="NTX129" s="3"/>
      <c r="NTY129" s="3"/>
      <c r="NTZ129" s="3"/>
      <c r="NUA129" s="3"/>
      <c r="NUB129" s="3"/>
      <c r="NUC129" s="3"/>
      <c r="NUD129" s="3"/>
      <c r="NUE129" s="3"/>
      <c r="NUF129" s="3"/>
      <c r="NUG129" s="3"/>
      <c r="NUH129" s="3"/>
      <c r="NUI129" s="3"/>
      <c r="NUJ129" s="3"/>
      <c r="NUK129" s="3"/>
      <c r="NUL129" s="3"/>
      <c r="NUM129" s="3"/>
      <c r="NUN129" s="3"/>
      <c r="NUO129" s="3"/>
      <c r="NUP129" s="3"/>
      <c r="NUQ129" s="3"/>
      <c r="NUR129" s="3"/>
      <c r="NUS129" s="3"/>
      <c r="NUT129" s="3"/>
      <c r="NUU129" s="3"/>
      <c r="NUV129" s="3"/>
      <c r="NUW129" s="3"/>
      <c r="NUX129" s="3"/>
      <c r="NUY129" s="3"/>
      <c r="NUZ129" s="3"/>
      <c r="NVA129" s="3"/>
      <c r="NVB129" s="3"/>
      <c r="NVC129" s="3"/>
      <c r="NVD129" s="3"/>
      <c r="NVE129" s="3"/>
      <c r="NVF129" s="3"/>
      <c r="NVG129" s="3"/>
      <c r="NVH129" s="3"/>
      <c r="NVI129" s="3"/>
      <c r="NVJ129" s="3"/>
      <c r="NVK129" s="3"/>
      <c r="NVL129" s="3"/>
      <c r="NVM129" s="3"/>
      <c r="NVN129" s="3"/>
      <c r="NVO129" s="3"/>
      <c r="NVP129" s="3"/>
      <c r="NVQ129" s="3"/>
      <c r="NVR129" s="3"/>
      <c r="NVS129" s="3"/>
      <c r="NVT129" s="3"/>
      <c r="NVU129" s="3"/>
      <c r="NVV129" s="3"/>
      <c r="NVW129" s="3"/>
      <c r="NVX129" s="3"/>
      <c r="NVY129" s="3"/>
      <c r="NVZ129" s="3"/>
      <c r="NWA129" s="3"/>
      <c r="NWB129" s="3"/>
      <c r="NWC129" s="3"/>
      <c r="NWD129" s="3"/>
      <c r="NWE129" s="3"/>
      <c r="NWF129" s="3"/>
      <c r="NWG129" s="3"/>
      <c r="NWH129" s="3"/>
      <c r="NWI129" s="3"/>
      <c r="NWJ129" s="3"/>
      <c r="NWK129" s="3"/>
      <c r="NWL129" s="3"/>
      <c r="NWM129" s="3"/>
      <c r="NWN129" s="3"/>
      <c r="NWO129" s="3"/>
      <c r="NWP129" s="3"/>
      <c r="NWQ129" s="3"/>
      <c r="NWR129" s="3"/>
      <c r="NWS129" s="3"/>
      <c r="NWT129" s="3"/>
      <c r="NWU129" s="3"/>
      <c r="NWV129" s="3"/>
      <c r="NWW129" s="3"/>
      <c r="NWX129" s="3"/>
      <c r="NWY129" s="3"/>
      <c r="NWZ129" s="3"/>
      <c r="NXA129" s="3"/>
      <c r="NXB129" s="3"/>
      <c r="NXC129" s="3"/>
      <c r="NXD129" s="3"/>
      <c r="NXE129" s="3"/>
      <c r="NXF129" s="3"/>
      <c r="NXG129" s="3"/>
      <c r="NXH129" s="3"/>
      <c r="NXI129" s="3"/>
      <c r="NXJ129" s="3"/>
      <c r="NXK129" s="3"/>
      <c r="NXL129" s="3"/>
      <c r="NXM129" s="3"/>
      <c r="NXN129" s="3"/>
      <c r="NXO129" s="3"/>
      <c r="NXP129" s="3"/>
      <c r="NXQ129" s="3"/>
      <c r="NXR129" s="3"/>
      <c r="NXS129" s="3"/>
      <c r="NXT129" s="3"/>
      <c r="NXU129" s="3"/>
      <c r="NXV129" s="3"/>
      <c r="NXW129" s="3"/>
      <c r="NXX129" s="3"/>
      <c r="NXY129" s="3"/>
      <c r="NXZ129" s="3"/>
      <c r="NYA129" s="3"/>
      <c r="NYB129" s="3"/>
      <c r="NYC129" s="3"/>
      <c r="NYD129" s="3"/>
      <c r="NYE129" s="3"/>
      <c r="NYF129" s="3"/>
      <c r="NYG129" s="3"/>
      <c r="NYH129" s="3"/>
      <c r="NYI129" s="3"/>
      <c r="NYJ129" s="3"/>
      <c r="NYK129" s="3"/>
      <c r="NYL129" s="3"/>
      <c r="NYM129" s="3"/>
      <c r="NYN129" s="3"/>
      <c r="NYO129" s="3"/>
      <c r="NYP129" s="3"/>
      <c r="NYQ129" s="3"/>
      <c r="NYR129" s="3"/>
      <c r="NYS129" s="3"/>
      <c r="NYT129" s="3"/>
      <c r="NYU129" s="3"/>
      <c r="NYV129" s="3"/>
      <c r="NYW129" s="3"/>
      <c r="NYX129" s="3"/>
      <c r="NYY129" s="3"/>
      <c r="NYZ129" s="3"/>
      <c r="NZA129" s="3"/>
      <c r="NZB129" s="3"/>
      <c r="NZC129" s="3"/>
      <c r="NZD129" s="3"/>
      <c r="NZE129" s="3"/>
      <c r="NZF129" s="3"/>
      <c r="NZG129" s="3"/>
      <c r="NZH129" s="3"/>
      <c r="NZI129" s="3"/>
      <c r="NZJ129" s="3"/>
      <c r="NZK129" s="3"/>
      <c r="NZL129" s="3"/>
      <c r="NZM129" s="3"/>
      <c r="NZN129" s="3"/>
      <c r="NZO129" s="3"/>
      <c r="NZP129" s="3"/>
      <c r="NZQ129" s="3"/>
      <c r="NZR129" s="3"/>
      <c r="NZS129" s="3"/>
      <c r="NZT129" s="3"/>
      <c r="NZU129" s="3"/>
      <c r="NZV129" s="3"/>
      <c r="NZW129" s="3"/>
      <c r="NZX129" s="3"/>
      <c r="NZY129" s="3"/>
      <c r="NZZ129" s="3"/>
      <c r="OAA129" s="3"/>
      <c r="OAB129" s="3"/>
      <c r="OAC129" s="3"/>
      <c r="OAD129" s="3"/>
      <c r="OAE129" s="3"/>
      <c r="OAF129" s="3"/>
      <c r="OAG129" s="3"/>
      <c r="OAH129" s="3"/>
      <c r="OAI129" s="3"/>
      <c r="OAJ129" s="3"/>
      <c r="OAK129" s="3"/>
      <c r="OAL129" s="3"/>
      <c r="OAM129" s="3"/>
      <c r="OAN129" s="3"/>
      <c r="OAO129" s="3"/>
      <c r="OAP129" s="3"/>
      <c r="OAQ129" s="3"/>
      <c r="OAR129" s="3"/>
      <c r="OAS129" s="3"/>
      <c r="OAT129" s="3"/>
      <c r="OAU129" s="3"/>
      <c r="OAV129" s="3"/>
      <c r="OAW129" s="3"/>
      <c r="OAX129" s="3"/>
      <c r="OAY129" s="3"/>
      <c r="OAZ129" s="3"/>
      <c r="OBA129" s="3"/>
      <c r="OBB129" s="3"/>
      <c r="OBC129" s="3"/>
      <c r="OBD129" s="3"/>
      <c r="OBE129" s="3"/>
      <c r="OBF129" s="3"/>
      <c r="OBG129" s="3"/>
      <c r="OBH129" s="3"/>
      <c r="OBI129" s="3"/>
      <c r="OBJ129" s="3"/>
      <c r="OBK129" s="3"/>
      <c r="OBL129" s="3"/>
      <c r="OBM129" s="3"/>
      <c r="OBN129" s="3"/>
      <c r="OBO129" s="3"/>
      <c r="OBP129" s="3"/>
      <c r="OBQ129" s="3"/>
      <c r="OBR129" s="3"/>
      <c r="OBS129" s="3"/>
      <c r="OBT129" s="3"/>
      <c r="OBU129" s="3"/>
      <c r="OBV129" s="3"/>
      <c r="OBW129" s="3"/>
      <c r="OBX129" s="3"/>
      <c r="OBY129" s="3"/>
      <c r="OBZ129" s="3"/>
      <c r="OCA129" s="3"/>
      <c r="OCB129" s="3"/>
      <c r="OCC129" s="3"/>
      <c r="OCD129" s="3"/>
      <c r="OCE129" s="3"/>
      <c r="OCF129" s="3"/>
      <c r="OCG129" s="3"/>
      <c r="OCH129" s="3"/>
      <c r="OCI129" s="3"/>
      <c r="OCJ129" s="3"/>
      <c r="OCK129" s="3"/>
      <c r="OCL129" s="3"/>
      <c r="OCM129" s="3"/>
      <c r="OCN129" s="3"/>
      <c r="OCO129" s="3"/>
      <c r="OCP129" s="3"/>
      <c r="OCQ129" s="3"/>
      <c r="OCR129" s="3"/>
      <c r="OCS129" s="3"/>
      <c r="OCT129" s="3"/>
      <c r="OCU129" s="3"/>
      <c r="OCV129" s="3"/>
      <c r="OCW129" s="3"/>
      <c r="OCX129" s="3"/>
      <c r="OCY129" s="3"/>
      <c r="OCZ129" s="3"/>
      <c r="ODA129" s="3"/>
      <c r="ODB129" s="3"/>
      <c r="ODC129" s="3"/>
      <c r="ODD129" s="3"/>
      <c r="ODE129" s="3"/>
      <c r="ODF129" s="3"/>
      <c r="ODG129" s="3"/>
      <c r="ODH129" s="3"/>
      <c r="ODI129" s="3"/>
      <c r="ODJ129" s="3"/>
      <c r="ODK129" s="3"/>
      <c r="ODL129" s="3"/>
      <c r="ODM129" s="3"/>
      <c r="ODN129" s="3"/>
      <c r="ODO129" s="3"/>
      <c r="ODP129" s="3"/>
      <c r="ODQ129" s="3"/>
      <c r="ODR129" s="3"/>
      <c r="ODS129" s="3"/>
      <c r="ODT129" s="3"/>
      <c r="ODU129" s="3"/>
      <c r="ODV129" s="3"/>
      <c r="ODW129" s="3"/>
      <c r="ODX129" s="3"/>
      <c r="ODY129" s="3"/>
      <c r="ODZ129" s="3"/>
      <c r="OEA129" s="3"/>
      <c r="OEB129" s="3"/>
      <c r="OEC129" s="3"/>
      <c r="OED129" s="3"/>
      <c r="OEE129" s="3"/>
      <c r="OEF129" s="3"/>
      <c r="OEG129" s="3"/>
      <c r="OEH129" s="3"/>
      <c r="OEI129" s="3"/>
      <c r="OEJ129" s="3"/>
      <c r="OEK129" s="3"/>
      <c r="OEL129" s="3"/>
      <c r="OEM129" s="3"/>
      <c r="OEN129" s="3"/>
      <c r="OEO129" s="3"/>
      <c r="OEP129" s="3"/>
      <c r="OEQ129" s="3"/>
      <c r="OER129" s="3"/>
      <c r="OES129" s="3"/>
      <c r="OET129" s="3"/>
      <c r="OEU129" s="3"/>
      <c r="OEV129" s="3"/>
      <c r="OEW129" s="3"/>
      <c r="OEX129" s="3"/>
      <c r="OEY129" s="3"/>
      <c r="OEZ129" s="3"/>
      <c r="OFA129" s="3"/>
      <c r="OFB129" s="3"/>
      <c r="OFC129" s="3"/>
      <c r="OFD129" s="3"/>
      <c r="OFE129" s="3"/>
      <c r="OFF129" s="3"/>
      <c r="OFG129" s="3"/>
      <c r="OFH129" s="3"/>
      <c r="OFI129" s="3"/>
      <c r="OFJ129" s="3"/>
      <c r="OFK129" s="3"/>
      <c r="OFL129" s="3"/>
      <c r="OFM129" s="3"/>
      <c r="OFN129" s="3"/>
      <c r="OFO129" s="3"/>
      <c r="OFP129" s="3"/>
      <c r="OFQ129" s="3"/>
      <c r="OFR129" s="3"/>
      <c r="OFS129" s="3"/>
      <c r="OFT129" s="3"/>
      <c r="OFU129" s="3"/>
      <c r="OFV129" s="3"/>
      <c r="OFW129" s="3"/>
      <c r="OFX129" s="3"/>
      <c r="OFY129" s="3"/>
      <c r="OFZ129" s="3"/>
      <c r="OGA129" s="3"/>
      <c r="OGB129" s="3"/>
      <c r="OGC129" s="3"/>
      <c r="OGD129" s="3"/>
      <c r="OGE129" s="3"/>
      <c r="OGF129" s="3"/>
      <c r="OGG129" s="3"/>
      <c r="OGH129" s="3"/>
      <c r="OGI129" s="3"/>
      <c r="OGJ129" s="3"/>
      <c r="OGK129" s="3"/>
      <c r="OGL129" s="3"/>
      <c r="OGM129" s="3"/>
      <c r="OGN129" s="3"/>
      <c r="OGO129" s="3"/>
      <c r="OGP129" s="3"/>
      <c r="OGQ129" s="3"/>
      <c r="OGR129" s="3"/>
      <c r="OGS129" s="3"/>
      <c r="OGT129" s="3"/>
      <c r="OGU129" s="3"/>
      <c r="OGV129" s="3"/>
      <c r="OGW129" s="3"/>
      <c r="OGX129" s="3"/>
      <c r="OGY129" s="3"/>
      <c r="OGZ129" s="3"/>
      <c r="OHA129" s="3"/>
      <c r="OHB129" s="3"/>
      <c r="OHC129" s="3"/>
      <c r="OHD129" s="3"/>
      <c r="OHE129" s="3"/>
      <c r="OHF129" s="3"/>
      <c r="OHG129" s="3"/>
      <c r="OHH129" s="3"/>
      <c r="OHI129" s="3"/>
      <c r="OHJ129" s="3"/>
      <c r="OHK129" s="3"/>
      <c r="OHL129" s="3"/>
      <c r="OHM129" s="3"/>
      <c r="OHN129" s="3"/>
      <c r="OHO129" s="3"/>
      <c r="OHP129" s="3"/>
      <c r="OHQ129" s="3"/>
      <c r="OHR129" s="3"/>
      <c r="OHS129" s="3"/>
      <c r="OHT129" s="3"/>
      <c r="OHU129" s="3"/>
      <c r="OHV129" s="3"/>
      <c r="OHW129" s="3"/>
      <c r="OHX129" s="3"/>
      <c r="OHY129" s="3"/>
      <c r="OHZ129" s="3"/>
      <c r="OIA129" s="3"/>
      <c r="OIB129" s="3"/>
      <c r="OIC129" s="3"/>
      <c r="OID129" s="3"/>
      <c r="OIE129" s="3"/>
      <c r="OIF129" s="3"/>
      <c r="OIG129" s="3"/>
      <c r="OIH129" s="3"/>
      <c r="OII129" s="3"/>
      <c r="OIJ129" s="3"/>
      <c r="OIK129" s="3"/>
      <c r="OIL129" s="3"/>
      <c r="OIM129" s="3"/>
      <c r="OIN129" s="3"/>
      <c r="OIO129" s="3"/>
      <c r="OIP129" s="3"/>
      <c r="OIQ129" s="3"/>
      <c r="OIR129" s="3"/>
      <c r="OIS129" s="3"/>
      <c r="OIT129" s="3"/>
      <c r="OIU129" s="3"/>
      <c r="OIV129" s="3"/>
      <c r="OIW129" s="3"/>
      <c r="OIX129" s="3"/>
      <c r="OIY129" s="3"/>
      <c r="OIZ129" s="3"/>
      <c r="OJA129" s="3"/>
      <c r="OJB129" s="3"/>
      <c r="OJC129" s="3"/>
      <c r="OJD129" s="3"/>
      <c r="OJE129" s="3"/>
      <c r="OJF129" s="3"/>
      <c r="OJG129" s="3"/>
      <c r="OJH129" s="3"/>
      <c r="OJI129" s="3"/>
      <c r="OJJ129" s="3"/>
      <c r="OJK129" s="3"/>
      <c r="OJL129" s="3"/>
      <c r="OJM129" s="3"/>
      <c r="OJN129" s="3"/>
      <c r="OJO129" s="3"/>
      <c r="OJP129" s="3"/>
      <c r="OJQ129" s="3"/>
      <c r="OJR129" s="3"/>
      <c r="OJS129" s="3"/>
      <c r="OJT129" s="3"/>
      <c r="OJU129" s="3"/>
      <c r="OJV129" s="3"/>
      <c r="OJW129" s="3"/>
      <c r="OJX129" s="3"/>
      <c r="OJY129" s="3"/>
      <c r="OJZ129" s="3"/>
      <c r="OKA129" s="3"/>
      <c r="OKB129" s="3"/>
      <c r="OKC129" s="3"/>
      <c r="OKD129" s="3"/>
      <c r="OKE129" s="3"/>
      <c r="OKF129" s="3"/>
      <c r="OKG129" s="3"/>
      <c r="OKH129" s="3"/>
      <c r="OKI129" s="3"/>
      <c r="OKJ129" s="3"/>
      <c r="OKK129" s="3"/>
      <c r="OKL129" s="3"/>
      <c r="OKM129" s="3"/>
      <c r="OKN129" s="3"/>
      <c r="OKO129" s="3"/>
      <c r="OKP129" s="3"/>
      <c r="OKQ129" s="3"/>
      <c r="OKR129" s="3"/>
      <c r="OKS129" s="3"/>
      <c r="OKT129" s="3"/>
      <c r="OKU129" s="3"/>
      <c r="OKV129" s="3"/>
      <c r="OKW129" s="3"/>
      <c r="OKX129" s="3"/>
      <c r="OKY129" s="3"/>
      <c r="OKZ129" s="3"/>
      <c r="OLA129" s="3"/>
      <c r="OLB129" s="3"/>
      <c r="OLC129" s="3"/>
      <c r="OLD129" s="3"/>
      <c r="OLE129" s="3"/>
      <c r="OLF129" s="3"/>
      <c r="OLG129" s="3"/>
      <c r="OLH129" s="3"/>
      <c r="OLI129" s="3"/>
      <c r="OLJ129" s="3"/>
      <c r="OLK129" s="3"/>
      <c r="OLL129" s="3"/>
      <c r="OLM129" s="3"/>
      <c r="OLN129" s="3"/>
      <c r="OLO129" s="3"/>
      <c r="OLP129" s="3"/>
      <c r="OLQ129" s="3"/>
      <c r="OLR129" s="3"/>
      <c r="OLS129" s="3"/>
      <c r="OLT129" s="3"/>
      <c r="OLU129" s="3"/>
      <c r="OLV129" s="3"/>
      <c r="OLW129" s="3"/>
      <c r="OLX129" s="3"/>
      <c r="OLY129" s="3"/>
      <c r="OLZ129" s="3"/>
      <c r="OMA129" s="3"/>
      <c r="OMB129" s="3"/>
      <c r="OMC129" s="3"/>
      <c r="OMD129" s="3"/>
      <c r="OME129" s="3"/>
      <c r="OMF129" s="3"/>
      <c r="OMG129" s="3"/>
      <c r="OMH129" s="3"/>
      <c r="OMI129" s="3"/>
      <c r="OMJ129" s="3"/>
      <c r="OMK129" s="3"/>
      <c r="OML129" s="3"/>
      <c r="OMM129" s="3"/>
      <c r="OMN129" s="3"/>
      <c r="OMO129" s="3"/>
      <c r="OMP129" s="3"/>
      <c r="OMQ129" s="3"/>
      <c r="OMR129" s="3"/>
      <c r="OMS129" s="3"/>
      <c r="OMT129" s="3"/>
      <c r="OMU129" s="3"/>
      <c r="OMV129" s="3"/>
      <c r="OMW129" s="3"/>
      <c r="OMX129" s="3"/>
      <c r="OMY129" s="3"/>
      <c r="OMZ129" s="3"/>
      <c r="ONA129" s="3"/>
      <c r="ONB129" s="3"/>
      <c r="ONC129" s="3"/>
      <c r="OND129" s="3"/>
      <c r="ONE129" s="3"/>
      <c r="ONF129" s="3"/>
      <c r="ONG129" s="3"/>
      <c r="ONH129" s="3"/>
      <c r="ONI129" s="3"/>
      <c r="ONJ129" s="3"/>
      <c r="ONK129" s="3"/>
      <c r="ONL129" s="3"/>
      <c r="ONM129" s="3"/>
      <c r="ONN129" s="3"/>
      <c r="ONO129" s="3"/>
      <c r="ONP129" s="3"/>
      <c r="ONQ129" s="3"/>
      <c r="ONR129" s="3"/>
      <c r="ONS129" s="3"/>
      <c r="ONT129" s="3"/>
      <c r="ONU129" s="3"/>
      <c r="ONV129" s="3"/>
      <c r="ONW129" s="3"/>
      <c r="ONX129" s="3"/>
      <c r="ONY129" s="3"/>
      <c r="ONZ129" s="3"/>
      <c r="OOA129" s="3"/>
      <c r="OOB129" s="3"/>
      <c r="OOC129" s="3"/>
      <c r="OOD129" s="3"/>
      <c r="OOE129" s="3"/>
      <c r="OOF129" s="3"/>
      <c r="OOG129" s="3"/>
      <c r="OOH129" s="3"/>
      <c r="OOI129" s="3"/>
      <c r="OOJ129" s="3"/>
      <c r="OOK129" s="3"/>
      <c r="OOL129" s="3"/>
      <c r="OOM129" s="3"/>
      <c r="OON129" s="3"/>
      <c r="OOO129" s="3"/>
      <c r="OOP129" s="3"/>
      <c r="OOQ129" s="3"/>
      <c r="OOR129" s="3"/>
      <c r="OOS129" s="3"/>
      <c r="OOT129" s="3"/>
      <c r="OOU129" s="3"/>
      <c r="OOV129" s="3"/>
      <c r="OOW129" s="3"/>
      <c r="OOX129" s="3"/>
      <c r="OOY129" s="3"/>
      <c r="OOZ129" s="3"/>
      <c r="OPA129" s="3"/>
      <c r="OPB129" s="3"/>
      <c r="OPC129" s="3"/>
      <c r="OPD129" s="3"/>
      <c r="OPE129" s="3"/>
      <c r="OPF129" s="3"/>
      <c r="OPG129" s="3"/>
      <c r="OPH129" s="3"/>
      <c r="OPI129" s="3"/>
      <c r="OPJ129" s="3"/>
      <c r="OPK129" s="3"/>
      <c r="OPL129" s="3"/>
      <c r="OPM129" s="3"/>
      <c r="OPN129" s="3"/>
      <c r="OPO129" s="3"/>
      <c r="OPP129" s="3"/>
      <c r="OPQ129" s="3"/>
      <c r="OPR129" s="3"/>
      <c r="OPS129" s="3"/>
      <c r="OPT129" s="3"/>
      <c r="OPU129" s="3"/>
      <c r="OPV129" s="3"/>
      <c r="OPW129" s="3"/>
      <c r="OPX129" s="3"/>
      <c r="OPY129" s="3"/>
      <c r="OPZ129" s="3"/>
      <c r="OQA129" s="3"/>
      <c r="OQB129" s="3"/>
      <c r="OQC129" s="3"/>
      <c r="OQD129" s="3"/>
      <c r="OQE129" s="3"/>
      <c r="OQF129" s="3"/>
      <c r="OQG129" s="3"/>
      <c r="OQH129" s="3"/>
      <c r="OQI129" s="3"/>
      <c r="OQJ129" s="3"/>
      <c r="OQK129" s="3"/>
      <c r="OQL129" s="3"/>
      <c r="OQM129" s="3"/>
      <c r="OQN129" s="3"/>
      <c r="OQO129" s="3"/>
      <c r="OQP129" s="3"/>
      <c r="OQQ129" s="3"/>
      <c r="OQR129" s="3"/>
      <c r="OQS129" s="3"/>
      <c r="OQT129" s="3"/>
      <c r="OQU129" s="3"/>
      <c r="OQV129" s="3"/>
      <c r="OQW129" s="3"/>
      <c r="OQX129" s="3"/>
      <c r="OQY129" s="3"/>
      <c r="OQZ129" s="3"/>
      <c r="ORA129" s="3"/>
      <c r="ORB129" s="3"/>
      <c r="ORC129" s="3"/>
      <c r="ORD129" s="3"/>
      <c r="ORE129" s="3"/>
      <c r="ORF129" s="3"/>
      <c r="ORG129" s="3"/>
      <c r="ORH129" s="3"/>
      <c r="ORI129" s="3"/>
      <c r="ORJ129" s="3"/>
      <c r="ORK129" s="3"/>
      <c r="ORL129" s="3"/>
      <c r="ORM129" s="3"/>
      <c r="ORN129" s="3"/>
      <c r="ORO129" s="3"/>
      <c r="ORP129" s="3"/>
      <c r="ORQ129" s="3"/>
      <c r="ORR129" s="3"/>
      <c r="ORS129" s="3"/>
      <c r="ORT129" s="3"/>
      <c r="ORU129" s="3"/>
      <c r="ORV129" s="3"/>
      <c r="ORW129" s="3"/>
      <c r="ORX129" s="3"/>
      <c r="ORY129" s="3"/>
      <c r="ORZ129" s="3"/>
      <c r="OSA129" s="3"/>
      <c r="OSB129" s="3"/>
      <c r="OSC129" s="3"/>
      <c r="OSD129" s="3"/>
      <c r="OSE129" s="3"/>
      <c r="OSF129" s="3"/>
      <c r="OSG129" s="3"/>
      <c r="OSH129" s="3"/>
      <c r="OSI129" s="3"/>
      <c r="OSJ129" s="3"/>
      <c r="OSK129" s="3"/>
      <c r="OSL129" s="3"/>
      <c r="OSM129" s="3"/>
      <c r="OSN129" s="3"/>
      <c r="OSO129" s="3"/>
      <c r="OSP129" s="3"/>
      <c r="OSQ129" s="3"/>
      <c r="OSR129" s="3"/>
      <c r="OSS129" s="3"/>
      <c r="OST129" s="3"/>
      <c r="OSU129" s="3"/>
      <c r="OSV129" s="3"/>
      <c r="OSW129" s="3"/>
      <c r="OSX129" s="3"/>
      <c r="OSY129" s="3"/>
      <c r="OSZ129" s="3"/>
      <c r="OTA129" s="3"/>
      <c r="OTB129" s="3"/>
      <c r="OTC129" s="3"/>
      <c r="OTD129" s="3"/>
      <c r="OTE129" s="3"/>
      <c r="OTF129" s="3"/>
      <c r="OTG129" s="3"/>
      <c r="OTH129" s="3"/>
      <c r="OTI129" s="3"/>
      <c r="OTJ129" s="3"/>
      <c r="OTK129" s="3"/>
      <c r="OTL129" s="3"/>
      <c r="OTM129" s="3"/>
      <c r="OTN129" s="3"/>
      <c r="OTO129" s="3"/>
      <c r="OTP129" s="3"/>
      <c r="OTQ129" s="3"/>
      <c r="OTR129" s="3"/>
      <c r="OTS129" s="3"/>
      <c r="OTT129" s="3"/>
      <c r="OTU129" s="3"/>
      <c r="OTV129" s="3"/>
      <c r="OTW129" s="3"/>
      <c r="OTX129" s="3"/>
      <c r="OTY129" s="3"/>
      <c r="OTZ129" s="3"/>
      <c r="OUA129" s="3"/>
      <c r="OUB129" s="3"/>
      <c r="OUC129" s="3"/>
      <c r="OUD129" s="3"/>
      <c r="OUE129" s="3"/>
      <c r="OUF129" s="3"/>
      <c r="OUG129" s="3"/>
      <c r="OUH129" s="3"/>
      <c r="OUI129" s="3"/>
      <c r="OUJ129" s="3"/>
      <c r="OUK129" s="3"/>
      <c r="OUL129" s="3"/>
      <c r="OUM129" s="3"/>
      <c r="OUN129" s="3"/>
      <c r="OUO129" s="3"/>
      <c r="OUP129" s="3"/>
      <c r="OUQ129" s="3"/>
      <c r="OUR129" s="3"/>
      <c r="OUS129" s="3"/>
      <c r="OUT129" s="3"/>
      <c r="OUU129" s="3"/>
      <c r="OUV129" s="3"/>
      <c r="OUW129" s="3"/>
      <c r="OUX129" s="3"/>
      <c r="OUY129" s="3"/>
      <c r="OUZ129" s="3"/>
      <c r="OVA129" s="3"/>
      <c r="OVB129" s="3"/>
      <c r="OVC129" s="3"/>
      <c r="OVD129" s="3"/>
      <c r="OVE129" s="3"/>
      <c r="OVF129" s="3"/>
      <c r="OVG129" s="3"/>
      <c r="OVH129" s="3"/>
      <c r="OVI129" s="3"/>
      <c r="OVJ129" s="3"/>
      <c r="OVK129" s="3"/>
      <c r="OVL129" s="3"/>
      <c r="OVM129" s="3"/>
      <c r="OVN129" s="3"/>
      <c r="OVO129" s="3"/>
      <c r="OVP129" s="3"/>
      <c r="OVQ129" s="3"/>
      <c r="OVR129" s="3"/>
      <c r="OVS129" s="3"/>
      <c r="OVT129" s="3"/>
      <c r="OVU129" s="3"/>
      <c r="OVV129" s="3"/>
      <c r="OVW129" s="3"/>
      <c r="OVX129" s="3"/>
      <c r="OVY129" s="3"/>
      <c r="OVZ129" s="3"/>
      <c r="OWA129" s="3"/>
      <c r="OWB129" s="3"/>
      <c r="OWC129" s="3"/>
      <c r="OWD129" s="3"/>
      <c r="OWE129" s="3"/>
      <c r="OWF129" s="3"/>
      <c r="OWG129" s="3"/>
      <c r="OWH129" s="3"/>
      <c r="OWI129" s="3"/>
      <c r="OWJ129" s="3"/>
      <c r="OWK129" s="3"/>
      <c r="OWL129" s="3"/>
      <c r="OWM129" s="3"/>
      <c r="OWN129" s="3"/>
      <c r="OWO129" s="3"/>
      <c r="OWP129" s="3"/>
      <c r="OWQ129" s="3"/>
      <c r="OWR129" s="3"/>
      <c r="OWS129" s="3"/>
      <c r="OWT129" s="3"/>
      <c r="OWU129" s="3"/>
      <c r="OWV129" s="3"/>
      <c r="OWW129" s="3"/>
      <c r="OWX129" s="3"/>
      <c r="OWY129" s="3"/>
      <c r="OWZ129" s="3"/>
      <c r="OXA129" s="3"/>
      <c r="OXB129" s="3"/>
      <c r="OXC129" s="3"/>
      <c r="OXD129" s="3"/>
      <c r="OXE129" s="3"/>
      <c r="OXF129" s="3"/>
      <c r="OXG129" s="3"/>
      <c r="OXH129" s="3"/>
      <c r="OXI129" s="3"/>
      <c r="OXJ129" s="3"/>
      <c r="OXK129" s="3"/>
      <c r="OXL129" s="3"/>
      <c r="OXM129" s="3"/>
      <c r="OXN129" s="3"/>
      <c r="OXO129" s="3"/>
      <c r="OXP129" s="3"/>
      <c r="OXQ129" s="3"/>
      <c r="OXR129" s="3"/>
      <c r="OXS129" s="3"/>
      <c r="OXT129" s="3"/>
      <c r="OXU129" s="3"/>
      <c r="OXV129" s="3"/>
      <c r="OXW129" s="3"/>
      <c r="OXX129" s="3"/>
      <c r="OXY129" s="3"/>
      <c r="OXZ129" s="3"/>
      <c r="OYA129" s="3"/>
      <c r="OYB129" s="3"/>
      <c r="OYC129" s="3"/>
      <c r="OYD129" s="3"/>
      <c r="OYE129" s="3"/>
      <c r="OYF129" s="3"/>
      <c r="OYG129" s="3"/>
      <c r="OYH129" s="3"/>
      <c r="OYI129" s="3"/>
      <c r="OYJ129" s="3"/>
      <c r="OYK129" s="3"/>
      <c r="OYL129" s="3"/>
      <c r="OYM129" s="3"/>
      <c r="OYN129" s="3"/>
      <c r="OYO129" s="3"/>
      <c r="OYP129" s="3"/>
      <c r="OYQ129" s="3"/>
      <c r="OYR129" s="3"/>
      <c r="OYS129" s="3"/>
      <c r="OYT129" s="3"/>
      <c r="OYU129" s="3"/>
      <c r="OYV129" s="3"/>
      <c r="OYW129" s="3"/>
      <c r="OYX129" s="3"/>
      <c r="OYY129" s="3"/>
      <c r="OYZ129" s="3"/>
      <c r="OZA129" s="3"/>
      <c r="OZB129" s="3"/>
      <c r="OZC129" s="3"/>
      <c r="OZD129" s="3"/>
      <c r="OZE129" s="3"/>
      <c r="OZF129" s="3"/>
      <c r="OZG129" s="3"/>
      <c r="OZH129" s="3"/>
      <c r="OZI129" s="3"/>
      <c r="OZJ129" s="3"/>
      <c r="OZK129" s="3"/>
      <c r="OZL129" s="3"/>
      <c r="OZM129" s="3"/>
      <c r="OZN129" s="3"/>
      <c r="OZO129" s="3"/>
      <c r="OZP129" s="3"/>
      <c r="OZQ129" s="3"/>
      <c r="OZR129" s="3"/>
      <c r="OZS129" s="3"/>
      <c r="OZT129" s="3"/>
      <c r="OZU129" s="3"/>
      <c r="OZV129" s="3"/>
      <c r="OZW129" s="3"/>
      <c r="OZX129" s="3"/>
      <c r="OZY129" s="3"/>
      <c r="OZZ129" s="3"/>
      <c r="PAA129" s="3"/>
      <c r="PAB129" s="3"/>
      <c r="PAC129" s="3"/>
      <c r="PAD129" s="3"/>
      <c r="PAE129" s="3"/>
      <c r="PAF129" s="3"/>
      <c r="PAG129" s="3"/>
      <c r="PAH129" s="3"/>
      <c r="PAI129" s="3"/>
      <c r="PAJ129" s="3"/>
      <c r="PAK129" s="3"/>
      <c r="PAL129" s="3"/>
      <c r="PAM129" s="3"/>
      <c r="PAN129" s="3"/>
      <c r="PAO129" s="3"/>
      <c r="PAP129" s="3"/>
      <c r="PAQ129" s="3"/>
      <c r="PAR129" s="3"/>
      <c r="PAS129" s="3"/>
      <c r="PAT129" s="3"/>
      <c r="PAU129" s="3"/>
      <c r="PAV129" s="3"/>
      <c r="PAW129" s="3"/>
      <c r="PAX129" s="3"/>
      <c r="PAY129" s="3"/>
      <c r="PAZ129" s="3"/>
      <c r="PBA129" s="3"/>
      <c r="PBB129" s="3"/>
      <c r="PBC129" s="3"/>
      <c r="PBD129" s="3"/>
      <c r="PBE129" s="3"/>
      <c r="PBF129" s="3"/>
      <c r="PBG129" s="3"/>
      <c r="PBH129" s="3"/>
      <c r="PBI129" s="3"/>
      <c r="PBJ129" s="3"/>
      <c r="PBK129" s="3"/>
      <c r="PBL129" s="3"/>
      <c r="PBM129" s="3"/>
      <c r="PBN129" s="3"/>
      <c r="PBO129" s="3"/>
      <c r="PBP129" s="3"/>
      <c r="PBQ129" s="3"/>
      <c r="PBR129" s="3"/>
      <c r="PBS129" s="3"/>
      <c r="PBT129" s="3"/>
      <c r="PBU129" s="3"/>
      <c r="PBV129" s="3"/>
      <c r="PBW129" s="3"/>
      <c r="PBX129" s="3"/>
      <c r="PBY129" s="3"/>
      <c r="PBZ129" s="3"/>
      <c r="PCA129" s="3"/>
      <c r="PCB129" s="3"/>
      <c r="PCC129" s="3"/>
      <c r="PCD129" s="3"/>
      <c r="PCE129" s="3"/>
      <c r="PCF129" s="3"/>
      <c r="PCG129" s="3"/>
      <c r="PCH129" s="3"/>
      <c r="PCI129" s="3"/>
      <c r="PCJ129" s="3"/>
      <c r="PCK129" s="3"/>
      <c r="PCL129" s="3"/>
      <c r="PCM129" s="3"/>
      <c r="PCN129" s="3"/>
      <c r="PCO129" s="3"/>
      <c r="PCP129" s="3"/>
      <c r="PCQ129" s="3"/>
      <c r="PCR129" s="3"/>
      <c r="PCS129" s="3"/>
      <c r="PCT129" s="3"/>
      <c r="PCU129" s="3"/>
      <c r="PCV129" s="3"/>
      <c r="PCW129" s="3"/>
      <c r="PCX129" s="3"/>
      <c r="PCY129" s="3"/>
      <c r="PCZ129" s="3"/>
      <c r="PDA129" s="3"/>
      <c r="PDB129" s="3"/>
      <c r="PDC129" s="3"/>
      <c r="PDD129" s="3"/>
      <c r="PDE129" s="3"/>
      <c r="PDF129" s="3"/>
      <c r="PDG129" s="3"/>
      <c r="PDH129" s="3"/>
      <c r="PDI129" s="3"/>
      <c r="PDJ129" s="3"/>
      <c r="PDK129" s="3"/>
      <c r="PDL129" s="3"/>
      <c r="PDM129" s="3"/>
      <c r="PDN129" s="3"/>
      <c r="PDO129" s="3"/>
      <c r="PDP129" s="3"/>
      <c r="PDQ129" s="3"/>
      <c r="PDR129" s="3"/>
      <c r="PDS129" s="3"/>
      <c r="PDT129" s="3"/>
      <c r="PDU129" s="3"/>
      <c r="PDV129" s="3"/>
      <c r="PDW129" s="3"/>
      <c r="PDX129" s="3"/>
      <c r="PDY129" s="3"/>
      <c r="PDZ129" s="3"/>
      <c r="PEA129" s="3"/>
      <c r="PEB129" s="3"/>
      <c r="PEC129" s="3"/>
      <c r="PED129" s="3"/>
      <c r="PEE129" s="3"/>
      <c r="PEF129" s="3"/>
      <c r="PEG129" s="3"/>
      <c r="PEH129" s="3"/>
      <c r="PEI129" s="3"/>
      <c r="PEJ129" s="3"/>
      <c r="PEK129" s="3"/>
      <c r="PEL129" s="3"/>
      <c r="PEM129" s="3"/>
      <c r="PEN129" s="3"/>
      <c r="PEO129" s="3"/>
      <c r="PEP129" s="3"/>
      <c r="PEQ129" s="3"/>
      <c r="PER129" s="3"/>
      <c r="PES129" s="3"/>
      <c r="PET129" s="3"/>
      <c r="PEU129" s="3"/>
      <c r="PEV129" s="3"/>
      <c r="PEW129" s="3"/>
      <c r="PEX129" s="3"/>
      <c r="PEY129" s="3"/>
      <c r="PEZ129" s="3"/>
      <c r="PFA129" s="3"/>
      <c r="PFB129" s="3"/>
      <c r="PFC129" s="3"/>
      <c r="PFD129" s="3"/>
      <c r="PFE129" s="3"/>
      <c r="PFF129" s="3"/>
      <c r="PFG129" s="3"/>
      <c r="PFH129" s="3"/>
      <c r="PFI129" s="3"/>
      <c r="PFJ129" s="3"/>
      <c r="PFK129" s="3"/>
      <c r="PFL129" s="3"/>
      <c r="PFM129" s="3"/>
      <c r="PFN129" s="3"/>
      <c r="PFO129" s="3"/>
      <c r="PFP129" s="3"/>
      <c r="PFQ129" s="3"/>
      <c r="PFR129" s="3"/>
      <c r="PFS129" s="3"/>
      <c r="PFT129" s="3"/>
      <c r="PFU129" s="3"/>
      <c r="PFV129" s="3"/>
      <c r="PFW129" s="3"/>
      <c r="PFX129" s="3"/>
      <c r="PFY129" s="3"/>
      <c r="PFZ129" s="3"/>
      <c r="PGA129" s="3"/>
      <c r="PGB129" s="3"/>
      <c r="PGC129" s="3"/>
      <c r="PGD129" s="3"/>
      <c r="PGE129" s="3"/>
      <c r="PGF129" s="3"/>
      <c r="PGG129" s="3"/>
      <c r="PGH129" s="3"/>
      <c r="PGI129" s="3"/>
      <c r="PGJ129" s="3"/>
      <c r="PGK129" s="3"/>
      <c r="PGL129" s="3"/>
      <c r="PGM129" s="3"/>
      <c r="PGN129" s="3"/>
      <c r="PGO129" s="3"/>
      <c r="PGP129" s="3"/>
      <c r="PGQ129" s="3"/>
      <c r="PGR129" s="3"/>
      <c r="PGS129" s="3"/>
      <c r="PGT129" s="3"/>
      <c r="PGU129" s="3"/>
      <c r="PGV129" s="3"/>
      <c r="PGW129" s="3"/>
      <c r="PGX129" s="3"/>
      <c r="PGY129" s="3"/>
      <c r="PGZ129" s="3"/>
      <c r="PHA129" s="3"/>
      <c r="PHB129" s="3"/>
      <c r="PHC129" s="3"/>
      <c r="PHD129" s="3"/>
      <c r="PHE129" s="3"/>
      <c r="PHF129" s="3"/>
      <c r="PHG129" s="3"/>
      <c r="PHH129" s="3"/>
      <c r="PHI129" s="3"/>
      <c r="PHJ129" s="3"/>
      <c r="PHK129" s="3"/>
      <c r="PHL129" s="3"/>
      <c r="PHM129" s="3"/>
      <c r="PHN129" s="3"/>
      <c r="PHO129" s="3"/>
      <c r="PHP129" s="3"/>
      <c r="PHQ129" s="3"/>
      <c r="PHR129" s="3"/>
      <c r="PHS129" s="3"/>
      <c r="PHT129" s="3"/>
      <c r="PHU129" s="3"/>
      <c r="PHV129" s="3"/>
      <c r="PHW129" s="3"/>
      <c r="PHX129" s="3"/>
      <c r="PHY129" s="3"/>
      <c r="PHZ129" s="3"/>
      <c r="PIA129" s="3"/>
      <c r="PIB129" s="3"/>
      <c r="PIC129" s="3"/>
      <c r="PID129" s="3"/>
      <c r="PIE129" s="3"/>
      <c r="PIF129" s="3"/>
      <c r="PIG129" s="3"/>
      <c r="PIH129" s="3"/>
      <c r="PII129" s="3"/>
      <c r="PIJ129" s="3"/>
      <c r="PIK129" s="3"/>
      <c r="PIL129" s="3"/>
      <c r="PIM129" s="3"/>
      <c r="PIN129" s="3"/>
      <c r="PIO129" s="3"/>
      <c r="PIP129" s="3"/>
      <c r="PIQ129" s="3"/>
      <c r="PIR129" s="3"/>
      <c r="PIS129" s="3"/>
      <c r="PIT129" s="3"/>
      <c r="PIU129" s="3"/>
      <c r="PIV129" s="3"/>
      <c r="PIW129" s="3"/>
      <c r="PIX129" s="3"/>
      <c r="PIY129" s="3"/>
      <c r="PIZ129" s="3"/>
      <c r="PJA129" s="3"/>
      <c r="PJB129" s="3"/>
      <c r="PJC129" s="3"/>
      <c r="PJD129" s="3"/>
      <c r="PJE129" s="3"/>
      <c r="PJF129" s="3"/>
      <c r="PJG129" s="3"/>
      <c r="PJH129" s="3"/>
      <c r="PJI129" s="3"/>
      <c r="PJJ129" s="3"/>
      <c r="PJK129" s="3"/>
      <c r="PJL129" s="3"/>
      <c r="PJM129" s="3"/>
      <c r="PJN129" s="3"/>
      <c r="PJO129" s="3"/>
      <c r="PJP129" s="3"/>
      <c r="PJQ129" s="3"/>
      <c r="PJR129" s="3"/>
      <c r="PJS129" s="3"/>
      <c r="PJT129" s="3"/>
      <c r="PJU129" s="3"/>
      <c r="PJV129" s="3"/>
      <c r="PJW129" s="3"/>
      <c r="PJX129" s="3"/>
      <c r="PJY129" s="3"/>
      <c r="PJZ129" s="3"/>
      <c r="PKA129" s="3"/>
      <c r="PKB129" s="3"/>
      <c r="PKC129" s="3"/>
      <c r="PKD129" s="3"/>
      <c r="PKE129" s="3"/>
      <c r="PKF129" s="3"/>
      <c r="PKG129" s="3"/>
      <c r="PKH129" s="3"/>
      <c r="PKI129" s="3"/>
      <c r="PKJ129" s="3"/>
      <c r="PKK129" s="3"/>
      <c r="PKL129" s="3"/>
      <c r="PKM129" s="3"/>
      <c r="PKN129" s="3"/>
      <c r="PKO129" s="3"/>
      <c r="PKP129" s="3"/>
      <c r="PKQ129" s="3"/>
      <c r="PKR129" s="3"/>
      <c r="PKS129" s="3"/>
      <c r="PKT129" s="3"/>
      <c r="PKU129" s="3"/>
      <c r="PKV129" s="3"/>
      <c r="PKW129" s="3"/>
      <c r="PKX129" s="3"/>
      <c r="PKY129" s="3"/>
      <c r="PKZ129" s="3"/>
      <c r="PLA129" s="3"/>
      <c r="PLB129" s="3"/>
      <c r="PLC129" s="3"/>
      <c r="PLD129" s="3"/>
      <c r="PLE129" s="3"/>
      <c r="PLF129" s="3"/>
      <c r="PLG129" s="3"/>
      <c r="PLH129" s="3"/>
      <c r="PLI129" s="3"/>
      <c r="PLJ129" s="3"/>
      <c r="PLK129" s="3"/>
      <c r="PLL129" s="3"/>
      <c r="PLM129" s="3"/>
      <c r="PLN129" s="3"/>
      <c r="PLO129" s="3"/>
      <c r="PLP129" s="3"/>
      <c r="PLQ129" s="3"/>
      <c r="PLR129" s="3"/>
      <c r="PLS129" s="3"/>
      <c r="PLT129" s="3"/>
      <c r="PLU129" s="3"/>
      <c r="PLV129" s="3"/>
      <c r="PLW129" s="3"/>
      <c r="PLX129" s="3"/>
      <c r="PLY129" s="3"/>
      <c r="PLZ129" s="3"/>
      <c r="PMA129" s="3"/>
      <c r="PMB129" s="3"/>
      <c r="PMC129" s="3"/>
      <c r="PMD129" s="3"/>
      <c r="PME129" s="3"/>
      <c r="PMF129" s="3"/>
      <c r="PMG129" s="3"/>
      <c r="PMH129" s="3"/>
      <c r="PMI129" s="3"/>
      <c r="PMJ129" s="3"/>
      <c r="PMK129" s="3"/>
      <c r="PML129" s="3"/>
      <c r="PMM129" s="3"/>
      <c r="PMN129" s="3"/>
      <c r="PMO129" s="3"/>
      <c r="PMP129" s="3"/>
      <c r="PMQ129" s="3"/>
      <c r="PMR129" s="3"/>
      <c r="PMS129" s="3"/>
      <c r="PMT129" s="3"/>
      <c r="PMU129" s="3"/>
      <c r="PMV129" s="3"/>
      <c r="PMW129" s="3"/>
      <c r="PMX129" s="3"/>
      <c r="PMY129" s="3"/>
      <c r="PMZ129" s="3"/>
      <c r="PNA129" s="3"/>
      <c r="PNB129" s="3"/>
      <c r="PNC129" s="3"/>
      <c r="PND129" s="3"/>
      <c r="PNE129" s="3"/>
      <c r="PNF129" s="3"/>
      <c r="PNG129" s="3"/>
      <c r="PNH129" s="3"/>
      <c r="PNI129" s="3"/>
      <c r="PNJ129" s="3"/>
      <c r="PNK129" s="3"/>
      <c r="PNL129" s="3"/>
      <c r="PNM129" s="3"/>
      <c r="PNN129" s="3"/>
      <c r="PNO129" s="3"/>
      <c r="PNP129" s="3"/>
      <c r="PNQ129" s="3"/>
      <c r="PNR129" s="3"/>
      <c r="PNS129" s="3"/>
      <c r="PNT129" s="3"/>
      <c r="PNU129" s="3"/>
      <c r="PNV129" s="3"/>
      <c r="PNW129" s="3"/>
      <c r="PNX129" s="3"/>
      <c r="PNY129" s="3"/>
      <c r="PNZ129" s="3"/>
      <c r="POA129" s="3"/>
      <c r="POB129" s="3"/>
      <c r="POC129" s="3"/>
      <c r="POD129" s="3"/>
      <c r="POE129" s="3"/>
      <c r="POF129" s="3"/>
      <c r="POG129" s="3"/>
      <c r="POH129" s="3"/>
      <c r="POI129" s="3"/>
      <c r="POJ129" s="3"/>
      <c r="POK129" s="3"/>
      <c r="POL129" s="3"/>
      <c r="POM129" s="3"/>
      <c r="PON129" s="3"/>
      <c r="POO129" s="3"/>
      <c r="POP129" s="3"/>
      <c r="POQ129" s="3"/>
      <c r="POR129" s="3"/>
      <c r="POS129" s="3"/>
      <c r="POT129" s="3"/>
      <c r="POU129" s="3"/>
      <c r="POV129" s="3"/>
      <c r="POW129" s="3"/>
      <c r="POX129" s="3"/>
      <c r="POY129" s="3"/>
      <c r="POZ129" s="3"/>
      <c r="PPA129" s="3"/>
      <c r="PPB129" s="3"/>
      <c r="PPC129" s="3"/>
      <c r="PPD129" s="3"/>
      <c r="PPE129" s="3"/>
      <c r="PPF129" s="3"/>
      <c r="PPG129" s="3"/>
      <c r="PPH129" s="3"/>
      <c r="PPI129" s="3"/>
      <c r="PPJ129" s="3"/>
      <c r="PPK129" s="3"/>
      <c r="PPL129" s="3"/>
      <c r="PPM129" s="3"/>
      <c r="PPN129" s="3"/>
      <c r="PPO129" s="3"/>
      <c r="PPP129" s="3"/>
      <c r="PPQ129" s="3"/>
      <c r="PPR129" s="3"/>
      <c r="PPS129" s="3"/>
      <c r="PPT129" s="3"/>
      <c r="PPU129" s="3"/>
      <c r="PPV129" s="3"/>
      <c r="PPW129" s="3"/>
      <c r="PPX129" s="3"/>
      <c r="PPY129" s="3"/>
      <c r="PPZ129" s="3"/>
      <c r="PQA129" s="3"/>
      <c r="PQB129" s="3"/>
      <c r="PQC129" s="3"/>
      <c r="PQD129" s="3"/>
      <c r="PQE129" s="3"/>
      <c r="PQF129" s="3"/>
      <c r="PQG129" s="3"/>
      <c r="PQH129" s="3"/>
      <c r="PQI129" s="3"/>
      <c r="PQJ129" s="3"/>
      <c r="PQK129" s="3"/>
      <c r="PQL129" s="3"/>
      <c r="PQM129" s="3"/>
      <c r="PQN129" s="3"/>
      <c r="PQO129" s="3"/>
      <c r="PQP129" s="3"/>
      <c r="PQQ129" s="3"/>
      <c r="PQR129" s="3"/>
      <c r="PQS129" s="3"/>
      <c r="PQT129" s="3"/>
      <c r="PQU129" s="3"/>
      <c r="PQV129" s="3"/>
      <c r="PQW129" s="3"/>
      <c r="PQX129" s="3"/>
      <c r="PQY129" s="3"/>
      <c r="PQZ129" s="3"/>
      <c r="PRA129" s="3"/>
      <c r="PRB129" s="3"/>
      <c r="PRC129" s="3"/>
      <c r="PRD129" s="3"/>
      <c r="PRE129" s="3"/>
      <c r="PRF129" s="3"/>
      <c r="PRG129" s="3"/>
      <c r="PRH129" s="3"/>
      <c r="PRI129" s="3"/>
      <c r="PRJ129" s="3"/>
      <c r="PRK129" s="3"/>
      <c r="PRL129" s="3"/>
      <c r="PRM129" s="3"/>
      <c r="PRN129" s="3"/>
      <c r="PRO129" s="3"/>
      <c r="PRP129" s="3"/>
      <c r="PRQ129" s="3"/>
      <c r="PRR129" s="3"/>
      <c r="PRS129" s="3"/>
      <c r="PRT129" s="3"/>
      <c r="PRU129" s="3"/>
      <c r="PRV129" s="3"/>
      <c r="PRW129" s="3"/>
      <c r="PRX129" s="3"/>
      <c r="PRY129" s="3"/>
      <c r="PRZ129" s="3"/>
      <c r="PSA129" s="3"/>
      <c r="PSB129" s="3"/>
      <c r="PSC129" s="3"/>
      <c r="PSD129" s="3"/>
      <c r="PSE129" s="3"/>
      <c r="PSF129" s="3"/>
      <c r="PSG129" s="3"/>
      <c r="PSH129" s="3"/>
      <c r="PSI129" s="3"/>
      <c r="PSJ129" s="3"/>
      <c r="PSK129" s="3"/>
      <c r="PSL129" s="3"/>
      <c r="PSM129" s="3"/>
      <c r="PSN129" s="3"/>
      <c r="PSO129" s="3"/>
      <c r="PSP129" s="3"/>
      <c r="PSQ129" s="3"/>
      <c r="PSR129" s="3"/>
      <c r="PSS129" s="3"/>
      <c r="PST129" s="3"/>
      <c r="PSU129" s="3"/>
      <c r="PSV129" s="3"/>
      <c r="PSW129" s="3"/>
      <c r="PSX129" s="3"/>
      <c r="PSY129" s="3"/>
      <c r="PSZ129" s="3"/>
      <c r="PTA129" s="3"/>
      <c r="PTB129" s="3"/>
      <c r="PTC129" s="3"/>
      <c r="PTD129" s="3"/>
      <c r="PTE129" s="3"/>
      <c r="PTF129" s="3"/>
      <c r="PTG129" s="3"/>
      <c r="PTH129" s="3"/>
      <c r="PTI129" s="3"/>
      <c r="PTJ129" s="3"/>
      <c r="PTK129" s="3"/>
      <c r="PTL129" s="3"/>
      <c r="PTM129" s="3"/>
      <c r="PTN129" s="3"/>
      <c r="PTO129" s="3"/>
      <c r="PTP129" s="3"/>
      <c r="PTQ129" s="3"/>
      <c r="PTR129" s="3"/>
      <c r="PTS129" s="3"/>
      <c r="PTT129" s="3"/>
      <c r="PTU129" s="3"/>
      <c r="PTV129" s="3"/>
      <c r="PTW129" s="3"/>
      <c r="PTX129" s="3"/>
      <c r="PTY129" s="3"/>
      <c r="PTZ129" s="3"/>
      <c r="PUA129" s="3"/>
      <c r="PUB129" s="3"/>
      <c r="PUC129" s="3"/>
      <c r="PUD129" s="3"/>
      <c r="PUE129" s="3"/>
      <c r="PUF129" s="3"/>
      <c r="PUG129" s="3"/>
      <c r="PUH129" s="3"/>
      <c r="PUI129" s="3"/>
      <c r="PUJ129" s="3"/>
      <c r="PUK129" s="3"/>
      <c r="PUL129" s="3"/>
      <c r="PUM129" s="3"/>
      <c r="PUN129" s="3"/>
      <c r="PUO129" s="3"/>
      <c r="PUP129" s="3"/>
      <c r="PUQ129" s="3"/>
      <c r="PUR129" s="3"/>
      <c r="PUS129" s="3"/>
      <c r="PUT129" s="3"/>
      <c r="PUU129" s="3"/>
      <c r="PUV129" s="3"/>
      <c r="PUW129" s="3"/>
      <c r="PUX129" s="3"/>
      <c r="PUY129" s="3"/>
      <c r="PUZ129" s="3"/>
      <c r="PVA129" s="3"/>
      <c r="PVB129" s="3"/>
      <c r="PVC129" s="3"/>
      <c r="PVD129" s="3"/>
      <c r="PVE129" s="3"/>
      <c r="PVF129" s="3"/>
      <c r="PVG129" s="3"/>
      <c r="PVH129" s="3"/>
      <c r="PVI129" s="3"/>
      <c r="PVJ129" s="3"/>
      <c r="PVK129" s="3"/>
      <c r="PVL129" s="3"/>
      <c r="PVM129" s="3"/>
      <c r="PVN129" s="3"/>
      <c r="PVO129" s="3"/>
      <c r="PVP129" s="3"/>
      <c r="PVQ129" s="3"/>
      <c r="PVR129" s="3"/>
      <c r="PVS129" s="3"/>
      <c r="PVT129" s="3"/>
      <c r="PVU129" s="3"/>
      <c r="PVV129" s="3"/>
      <c r="PVW129" s="3"/>
      <c r="PVX129" s="3"/>
      <c r="PVY129" s="3"/>
      <c r="PVZ129" s="3"/>
      <c r="PWA129" s="3"/>
      <c r="PWB129" s="3"/>
      <c r="PWC129" s="3"/>
      <c r="PWD129" s="3"/>
      <c r="PWE129" s="3"/>
      <c r="PWF129" s="3"/>
      <c r="PWG129" s="3"/>
      <c r="PWH129" s="3"/>
      <c r="PWI129" s="3"/>
      <c r="PWJ129" s="3"/>
      <c r="PWK129" s="3"/>
      <c r="PWL129" s="3"/>
      <c r="PWM129" s="3"/>
      <c r="PWN129" s="3"/>
      <c r="PWO129" s="3"/>
      <c r="PWP129" s="3"/>
      <c r="PWQ129" s="3"/>
      <c r="PWR129" s="3"/>
      <c r="PWS129" s="3"/>
      <c r="PWT129" s="3"/>
      <c r="PWU129" s="3"/>
      <c r="PWV129" s="3"/>
      <c r="PWW129" s="3"/>
      <c r="PWX129" s="3"/>
      <c r="PWY129" s="3"/>
      <c r="PWZ129" s="3"/>
      <c r="PXA129" s="3"/>
      <c r="PXB129" s="3"/>
      <c r="PXC129" s="3"/>
      <c r="PXD129" s="3"/>
      <c r="PXE129" s="3"/>
      <c r="PXF129" s="3"/>
      <c r="PXG129" s="3"/>
      <c r="PXH129" s="3"/>
      <c r="PXI129" s="3"/>
      <c r="PXJ129" s="3"/>
      <c r="PXK129" s="3"/>
      <c r="PXL129" s="3"/>
      <c r="PXM129" s="3"/>
      <c r="PXN129" s="3"/>
      <c r="PXO129" s="3"/>
      <c r="PXP129" s="3"/>
      <c r="PXQ129" s="3"/>
      <c r="PXR129" s="3"/>
      <c r="PXS129" s="3"/>
      <c r="PXT129" s="3"/>
      <c r="PXU129" s="3"/>
      <c r="PXV129" s="3"/>
      <c r="PXW129" s="3"/>
      <c r="PXX129" s="3"/>
      <c r="PXY129" s="3"/>
      <c r="PXZ129" s="3"/>
      <c r="PYA129" s="3"/>
      <c r="PYB129" s="3"/>
      <c r="PYC129" s="3"/>
      <c r="PYD129" s="3"/>
      <c r="PYE129" s="3"/>
      <c r="PYF129" s="3"/>
      <c r="PYG129" s="3"/>
      <c r="PYH129" s="3"/>
      <c r="PYI129" s="3"/>
      <c r="PYJ129" s="3"/>
      <c r="PYK129" s="3"/>
      <c r="PYL129" s="3"/>
      <c r="PYM129" s="3"/>
      <c r="PYN129" s="3"/>
      <c r="PYO129" s="3"/>
      <c r="PYP129" s="3"/>
      <c r="PYQ129" s="3"/>
      <c r="PYR129" s="3"/>
      <c r="PYS129" s="3"/>
      <c r="PYT129" s="3"/>
      <c r="PYU129" s="3"/>
      <c r="PYV129" s="3"/>
      <c r="PYW129" s="3"/>
      <c r="PYX129" s="3"/>
      <c r="PYY129" s="3"/>
      <c r="PYZ129" s="3"/>
      <c r="PZA129" s="3"/>
      <c r="PZB129" s="3"/>
      <c r="PZC129" s="3"/>
      <c r="PZD129" s="3"/>
      <c r="PZE129" s="3"/>
      <c r="PZF129" s="3"/>
      <c r="PZG129" s="3"/>
      <c r="PZH129" s="3"/>
      <c r="PZI129" s="3"/>
      <c r="PZJ129" s="3"/>
      <c r="PZK129" s="3"/>
      <c r="PZL129" s="3"/>
      <c r="PZM129" s="3"/>
      <c r="PZN129" s="3"/>
      <c r="PZO129" s="3"/>
      <c r="PZP129" s="3"/>
      <c r="PZQ129" s="3"/>
      <c r="PZR129" s="3"/>
      <c r="PZS129" s="3"/>
      <c r="PZT129" s="3"/>
      <c r="PZU129" s="3"/>
      <c r="PZV129" s="3"/>
      <c r="PZW129" s="3"/>
      <c r="PZX129" s="3"/>
      <c r="PZY129" s="3"/>
      <c r="PZZ129" s="3"/>
      <c r="QAA129" s="3"/>
      <c r="QAB129" s="3"/>
      <c r="QAC129" s="3"/>
      <c r="QAD129" s="3"/>
      <c r="QAE129" s="3"/>
      <c r="QAF129" s="3"/>
      <c r="QAG129" s="3"/>
      <c r="QAH129" s="3"/>
      <c r="QAI129" s="3"/>
      <c r="QAJ129" s="3"/>
      <c r="QAK129" s="3"/>
      <c r="QAL129" s="3"/>
      <c r="QAM129" s="3"/>
      <c r="QAN129" s="3"/>
      <c r="QAO129" s="3"/>
      <c r="QAP129" s="3"/>
      <c r="QAQ129" s="3"/>
      <c r="QAR129" s="3"/>
      <c r="QAS129" s="3"/>
      <c r="QAT129" s="3"/>
      <c r="QAU129" s="3"/>
      <c r="QAV129" s="3"/>
      <c r="QAW129" s="3"/>
      <c r="QAX129" s="3"/>
      <c r="QAY129" s="3"/>
      <c r="QAZ129" s="3"/>
      <c r="QBA129" s="3"/>
      <c r="QBB129" s="3"/>
      <c r="QBC129" s="3"/>
      <c r="QBD129" s="3"/>
      <c r="QBE129" s="3"/>
      <c r="QBF129" s="3"/>
      <c r="QBG129" s="3"/>
      <c r="QBH129" s="3"/>
      <c r="QBI129" s="3"/>
      <c r="QBJ129" s="3"/>
      <c r="QBK129" s="3"/>
      <c r="QBL129" s="3"/>
      <c r="QBM129" s="3"/>
      <c r="QBN129" s="3"/>
      <c r="QBO129" s="3"/>
      <c r="QBP129" s="3"/>
      <c r="QBQ129" s="3"/>
      <c r="QBR129" s="3"/>
      <c r="QBS129" s="3"/>
      <c r="QBT129" s="3"/>
      <c r="QBU129" s="3"/>
      <c r="QBV129" s="3"/>
      <c r="QBW129" s="3"/>
      <c r="QBX129" s="3"/>
      <c r="QBY129" s="3"/>
      <c r="QBZ129" s="3"/>
      <c r="QCA129" s="3"/>
      <c r="QCB129" s="3"/>
      <c r="QCC129" s="3"/>
      <c r="QCD129" s="3"/>
      <c r="QCE129" s="3"/>
      <c r="QCF129" s="3"/>
      <c r="QCG129" s="3"/>
      <c r="QCH129" s="3"/>
      <c r="QCI129" s="3"/>
      <c r="QCJ129" s="3"/>
      <c r="QCK129" s="3"/>
      <c r="QCL129" s="3"/>
      <c r="QCM129" s="3"/>
      <c r="QCN129" s="3"/>
      <c r="QCO129" s="3"/>
      <c r="QCP129" s="3"/>
      <c r="QCQ129" s="3"/>
      <c r="QCR129" s="3"/>
      <c r="QCS129" s="3"/>
      <c r="QCT129" s="3"/>
      <c r="QCU129" s="3"/>
      <c r="QCV129" s="3"/>
      <c r="QCW129" s="3"/>
      <c r="QCX129" s="3"/>
      <c r="QCY129" s="3"/>
      <c r="QCZ129" s="3"/>
      <c r="QDA129" s="3"/>
      <c r="QDB129" s="3"/>
      <c r="QDC129" s="3"/>
      <c r="QDD129" s="3"/>
      <c r="QDE129" s="3"/>
      <c r="QDF129" s="3"/>
      <c r="QDG129" s="3"/>
      <c r="QDH129" s="3"/>
      <c r="QDI129" s="3"/>
      <c r="QDJ129" s="3"/>
      <c r="QDK129" s="3"/>
      <c r="QDL129" s="3"/>
      <c r="QDM129" s="3"/>
      <c r="QDN129" s="3"/>
      <c r="QDO129" s="3"/>
      <c r="QDP129" s="3"/>
      <c r="QDQ129" s="3"/>
      <c r="QDR129" s="3"/>
      <c r="QDS129" s="3"/>
      <c r="QDT129" s="3"/>
      <c r="QDU129" s="3"/>
      <c r="QDV129" s="3"/>
      <c r="QDW129" s="3"/>
      <c r="QDX129" s="3"/>
      <c r="QDY129" s="3"/>
      <c r="QDZ129" s="3"/>
      <c r="QEA129" s="3"/>
      <c r="QEB129" s="3"/>
      <c r="QEC129" s="3"/>
      <c r="QED129" s="3"/>
      <c r="QEE129" s="3"/>
      <c r="QEF129" s="3"/>
      <c r="QEG129" s="3"/>
      <c r="QEH129" s="3"/>
      <c r="QEI129" s="3"/>
      <c r="QEJ129" s="3"/>
      <c r="QEK129" s="3"/>
      <c r="QEL129" s="3"/>
      <c r="QEM129" s="3"/>
      <c r="QEN129" s="3"/>
      <c r="QEO129" s="3"/>
      <c r="QEP129" s="3"/>
      <c r="QEQ129" s="3"/>
      <c r="QER129" s="3"/>
      <c r="QES129" s="3"/>
      <c r="QET129" s="3"/>
      <c r="QEU129" s="3"/>
      <c r="QEV129" s="3"/>
      <c r="QEW129" s="3"/>
      <c r="QEX129" s="3"/>
      <c r="QEY129" s="3"/>
      <c r="QEZ129" s="3"/>
      <c r="QFA129" s="3"/>
      <c r="QFB129" s="3"/>
      <c r="QFC129" s="3"/>
      <c r="QFD129" s="3"/>
      <c r="QFE129" s="3"/>
      <c r="QFF129" s="3"/>
      <c r="QFG129" s="3"/>
      <c r="QFH129" s="3"/>
      <c r="QFI129" s="3"/>
      <c r="QFJ129" s="3"/>
      <c r="QFK129" s="3"/>
      <c r="QFL129" s="3"/>
      <c r="QFM129" s="3"/>
      <c r="QFN129" s="3"/>
      <c r="QFO129" s="3"/>
      <c r="QFP129" s="3"/>
      <c r="QFQ129" s="3"/>
      <c r="QFR129" s="3"/>
      <c r="QFS129" s="3"/>
      <c r="QFT129" s="3"/>
      <c r="QFU129" s="3"/>
      <c r="QFV129" s="3"/>
      <c r="QFW129" s="3"/>
      <c r="QFX129" s="3"/>
      <c r="QFY129" s="3"/>
      <c r="QFZ129" s="3"/>
      <c r="QGA129" s="3"/>
      <c r="QGB129" s="3"/>
      <c r="QGC129" s="3"/>
      <c r="QGD129" s="3"/>
      <c r="QGE129" s="3"/>
      <c r="QGF129" s="3"/>
      <c r="QGG129" s="3"/>
      <c r="QGH129" s="3"/>
      <c r="QGI129" s="3"/>
      <c r="QGJ129" s="3"/>
      <c r="QGK129" s="3"/>
      <c r="QGL129" s="3"/>
      <c r="QGM129" s="3"/>
      <c r="QGN129" s="3"/>
      <c r="QGO129" s="3"/>
      <c r="QGP129" s="3"/>
      <c r="QGQ129" s="3"/>
      <c r="QGR129" s="3"/>
      <c r="QGS129" s="3"/>
      <c r="QGT129" s="3"/>
      <c r="QGU129" s="3"/>
      <c r="QGV129" s="3"/>
      <c r="QGW129" s="3"/>
      <c r="QGX129" s="3"/>
      <c r="QGY129" s="3"/>
      <c r="QGZ129" s="3"/>
      <c r="QHA129" s="3"/>
      <c r="QHB129" s="3"/>
      <c r="QHC129" s="3"/>
      <c r="QHD129" s="3"/>
      <c r="QHE129" s="3"/>
      <c r="QHF129" s="3"/>
      <c r="QHG129" s="3"/>
      <c r="QHH129" s="3"/>
      <c r="QHI129" s="3"/>
      <c r="QHJ129" s="3"/>
      <c r="QHK129" s="3"/>
      <c r="QHL129" s="3"/>
      <c r="QHM129" s="3"/>
      <c r="QHN129" s="3"/>
      <c r="QHO129" s="3"/>
      <c r="QHP129" s="3"/>
      <c r="QHQ129" s="3"/>
      <c r="QHR129" s="3"/>
      <c r="QHS129" s="3"/>
      <c r="QHT129" s="3"/>
      <c r="QHU129" s="3"/>
      <c r="QHV129" s="3"/>
      <c r="QHW129" s="3"/>
      <c r="QHX129" s="3"/>
      <c r="QHY129" s="3"/>
      <c r="QHZ129" s="3"/>
      <c r="QIA129" s="3"/>
      <c r="QIB129" s="3"/>
      <c r="QIC129" s="3"/>
      <c r="QID129" s="3"/>
      <c r="QIE129" s="3"/>
      <c r="QIF129" s="3"/>
      <c r="QIG129" s="3"/>
      <c r="QIH129" s="3"/>
      <c r="QII129" s="3"/>
      <c r="QIJ129" s="3"/>
      <c r="QIK129" s="3"/>
      <c r="QIL129" s="3"/>
      <c r="QIM129" s="3"/>
      <c r="QIN129" s="3"/>
      <c r="QIO129" s="3"/>
      <c r="QIP129" s="3"/>
      <c r="QIQ129" s="3"/>
      <c r="QIR129" s="3"/>
      <c r="QIS129" s="3"/>
      <c r="QIT129" s="3"/>
      <c r="QIU129" s="3"/>
      <c r="QIV129" s="3"/>
      <c r="QIW129" s="3"/>
      <c r="QIX129" s="3"/>
      <c r="QIY129" s="3"/>
      <c r="QIZ129" s="3"/>
      <c r="QJA129" s="3"/>
      <c r="QJB129" s="3"/>
      <c r="QJC129" s="3"/>
      <c r="QJD129" s="3"/>
      <c r="QJE129" s="3"/>
      <c r="QJF129" s="3"/>
      <c r="QJG129" s="3"/>
      <c r="QJH129" s="3"/>
      <c r="QJI129" s="3"/>
      <c r="QJJ129" s="3"/>
      <c r="QJK129" s="3"/>
      <c r="QJL129" s="3"/>
      <c r="QJM129" s="3"/>
      <c r="QJN129" s="3"/>
      <c r="QJO129" s="3"/>
      <c r="QJP129" s="3"/>
      <c r="QJQ129" s="3"/>
      <c r="QJR129" s="3"/>
      <c r="QJS129" s="3"/>
      <c r="QJT129" s="3"/>
      <c r="QJU129" s="3"/>
      <c r="QJV129" s="3"/>
      <c r="QJW129" s="3"/>
      <c r="QJX129" s="3"/>
      <c r="QJY129" s="3"/>
      <c r="QJZ129" s="3"/>
      <c r="QKA129" s="3"/>
      <c r="QKB129" s="3"/>
      <c r="QKC129" s="3"/>
      <c r="QKD129" s="3"/>
      <c r="QKE129" s="3"/>
      <c r="QKF129" s="3"/>
      <c r="QKG129" s="3"/>
      <c r="QKH129" s="3"/>
      <c r="QKI129" s="3"/>
      <c r="QKJ129" s="3"/>
      <c r="QKK129" s="3"/>
      <c r="QKL129" s="3"/>
      <c r="QKM129" s="3"/>
      <c r="QKN129" s="3"/>
      <c r="QKO129" s="3"/>
      <c r="QKP129" s="3"/>
      <c r="QKQ129" s="3"/>
      <c r="QKR129" s="3"/>
      <c r="QKS129" s="3"/>
      <c r="QKT129" s="3"/>
      <c r="QKU129" s="3"/>
      <c r="QKV129" s="3"/>
      <c r="QKW129" s="3"/>
      <c r="QKX129" s="3"/>
      <c r="QKY129" s="3"/>
      <c r="QKZ129" s="3"/>
      <c r="QLA129" s="3"/>
      <c r="QLB129" s="3"/>
      <c r="QLC129" s="3"/>
      <c r="QLD129" s="3"/>
      <c r="QLE129" s="3"/>
      <c r="QLF129" s="3"/>
      <c r="QLG129" s="3"/>
      <c r="QLH129" s="3"/>
      <c r="QLI129" s="3"/>
      <c r="QLJ129" s="3"/>
      <c r="QLK129" s="3"/>
      <c r="QLL129" s="3"/>
      <c r="QLM129" s="3"/>
      <c r="QLN129" s="3"/>
      <c r="QLO129" s="3"/>
      <c r="QLP129" s="3"/>
      <c r="QLQ129" s="3"/>
      <c r="QLR129" s="3"/>
      <c r="QLS129" s="3"/>
      <c r="QLT129" s="3"/>
      <c r="QLU129" s="3"/>
      <c r="QLV129" s="3"/>
      <c r="QLW129" s="3"/>
      <c r="QLX129" s="3"/>
      <c r="QLY129" s="3"/>
      <c r="QLZ129" s="3"/>
      <c r="QMA129" s="3"/>
      <c r="QMB129" s="3"/>
      <c r="QMC129" s="3"/>
      <c r="QMD129" s="3"/>
      <c r="QME129" s="3"/>
      <c r="QMF129" s="3"/>
      <c r="QMG129" s="3"/>
      <c r="QMH129" s="3"/>
      <c r="QMI129" s="3"/>
      <c r="QMJ129" s="3"/>
      <c r="QMK129" s="3"/>
      <c r="QML129" s="3"/>
      <c r="QMM129" s="3"/>
      <c r="QMN129" s="3"/>
      <c r="QMO129" s="3"/>
      <c r="QMP129" s="3"/>
      <c r="QMQ129" s="3"/>
      <c r="QMR129" s="3"/>
      <c r="QMS129" s="3"/>
      <c r="QMT129" s="3"/>
      <c r="QMU129" s="3"/>
      <c r="QMV129" s="3"/>
      <c r="QMW129" s="3"/>
      <c r="QMX129" s="3"/>
      <c r="QMY129" s="3"/>
      <c r="QMZ129" s="3"/>
      <c r="QNA129" s="3"/>
      <c r="QNB129" s="3"/>
      <c r="QNC129" s="3"/>
      <c r="QND129" s="3"/>
      <c r="QNE129" s="3"/>
      <c r="QNF129" s="3"/>
      <c r="QNG129" s="3"/>
      <c r="QNH129" s="3"/>
      <c r="QNI129" s="3"/>
      <c r="QNJ129" s="3"/>
      <c r="QNK129" s="3"/>
      <c r="QNL129" s="3"/>
      <c r="QNM129" s="3"/>
      <c r="QNN129" s="3"/>
      <c r="QNO129" s="3"/>
      <c r="QNP129" s="3"/>
      <c r="QNQ129" s="3"/>
      <c r="QNR129" s="3"/>
      <c r="QNS129" s="3"/>
      <c r="QNT129" s="3"/>
      <c r="QNU129" s="3"/>
      <c r="QNV129" s="3"/>
      <c r="QNW129" s="3"/>
      <c r="QNX129" s="3"/>
      <c r="QNY129" s="3"/>
      <c r="QNZ129" s="3"/>
      <c r="QOA129" s="3"/>
      <c r="QOB129" s="3"/>
      <c r="QOC129" s="3"/>
      <c r="QOD129" s="3"/>
      <c r="QOE129" s="3"/>
      <c r="QOF129" s="3"/>
      <c r="QOG129" s="3"/>
      <c r="QOH129" s="3"/>
      <c r="QOI129" s="3"/>
      <c r="QOJ129" s="3"/>
      <c r="QOK129" s="3"/>
      <c r="QOL129" s="3"/>
      <c r="QOM129" s="3"/>
      <c r="QON129" s="3"/>
      <c r="QOO129" s="3"/>
      <c r="QOP129" s="3"/>
      <c r="QOQ129" s="3"/>
      <c r="QOR129" s="3"/>
      <c r="QOS129" s="3"/>
      <c r="QOT129" s="3"/>
      <c r="QOU129" s="3"/>
      <c r="QOV129" s="3"/>
      <c r="QOW129" s="3"/>
      <c r="QOX129" s="3"/>
      <c r="QOY129" s="3"/>
      <c r="QOZ129" s="3"/>
      <c r="QPA129" s="3"/>
      <c r="QPB129" s="3"/>
      <c r="QPC129" s="3"/>
      <c r="QPD129" s="3"/>
      <c r="QPE129" s="3"/>
      <c r="QPF129" s="3"/>
      <c r="QPG129" s="3"/>
      <c r="QPH129" s="3"/>
      <c r="QPI129" s="3"/>
      <c r="QPJ129" s="3"/>
      <c r="QPK129" s="3"/>
      <c r="QPL129" s="3"/>
      <c r="QPM129" s="3"/>
      <c r="QPN129" s="3"/>
      <c r="QPO129" s="3"/>
      <c r="QPP129" s="3"/>
      <c r="QPQ129" s="3"/>
      <c r="QPR129" s="3"/>
      <c r="QPS129" s="3"/>
      <c r="QPT129" s="3"/>
      <c r="QPU129" s="3"/>
      <c r="QPV129" s="3"/>
      <c r="QPW129" s="3"/>
      <c r="QPX129" s="3"/>
      <c r="QPY129" s="3"/>
      <c r="QPZ129" s="3"/>
      <c r="QQA129" s="3"/>
      <c r="QQB129" s="3"/>
      <c r="QQC129" s="3"/>
      <c r="QQD129" s="3"/>
      <c r="QQE129" s="3"/>
      <c r="QQF129" s="3"/>
      <c r="QQG129" s="3"/>
      <c r="QQH129" s="3"/>
      <c r="QQI129" s="3"/>
      <c r="QQJ129" s="3"/>
      <c r="QQK129" s="3"/>
      <c r="QQL129" s="3"/>
      <c r="QQM129" s="3"/>
      <c r="QQN129" s="3"/>
      <c r="QQO129" s="3"/>
      <c r="QQP129" s="3"/>
      <c r="QQQ129" s="3"/>
      <c r="QQR129" s="3"/>
      <c r="QQS129" s="3"/>
      <c r="QQT129" s="3"/>
      <c r="QQU129" s="3"/>
      <c r="QQV129" s="3"/>
      <c r="QQW129" s="3"/>
      <c r="QQX129" s="3"/>
      <c r="QQY129" s="3"/>
      <c r="QQZ129" s="3"/>
      <c r="QRA129" s="3"/>
      <c r="QRB129" s="3"/>
      <c r="QRC129" s="3"/>
      <c r="QRD129" s="3"/>
      <c r="QRE129" s="3"/>
      <c r="QRF129" s="3"/>
      <c r="QRG129" s="3"/>
      <c r="QRH129" s="3"/>
      <c r="QRI129" s="3"/>
      <c r="QRJ129" s="3"/>
      <c r="QRK129" s="3"/>
      <c r="QRL129" s="3"/>
      <c r="QRM129" s="3"/>
      <c r="QRN129" s="3"/>
      <c r="QRO129" s="3"/>
      <c r="QRP129" s="3"/>
      <c r="QRQ129" s="3"/>
      <c r="QRR129" s="3"/>
      <c r="QRS129" s="3"/>
      <c r="QRT129" s="3"/>
      <c r="QRU129" s="3"/>
      <c r="QRV129" s="3"/>
      <c r="QRW129" s="3"/>
      <c r="QRX129" s="3"/>
      <c r="QRY129" s="3"/>
      <c r="QRZ129" s="3"/>
      <c r="QSA129" s="3"/>
      <c r="QSB129" s="3"/>
      <c r="QSC129" s="3"/>
      <c r="QSD129" s="3"/>
      <c r="QSE129" s="3"/>
      <c r="QSF129" s="3"/>
      <c r="QSG129" s="3"/>
      <c r="QSH129" s="3"/>
      <c r="QSI129" s="3"/>
      <c r="QSJ129" s="3"/>
      <c r="QSK129" s="3"/>
      <c r="QSL129" s="3"/>
      <c r="QSM129" s="3"/>
      <c r="QSN129" s="3"/>
      <c r="QSO129" s="3"/>
      <c r="QSP129" s="3"/>
      <c r="QSQ129" s="3"/>
      <c r="QSR129" s="3"/>
      <c r="QSS129" s="3"/>
      <c r="QST129" s="3"/>
      <c r="QSU129" s="3"/>
      <c r="QSV129" s="3"/>
      <c r="QSW129" s="3"/>
      <c r="QSX129" s="3"/>
      <c r="QSY129" s="3"/>
      <c r="QSZ129" s="3"/>
      <c r="QTA129" s="3"/>
      <c r="QTB129" s="3"/>
      <c r="QTC129" s="3"/>
      <c r="QTD129" s="3"/>
      <c r="QTE129" s="3"/>
      <c r="QTF129" s="3"/>
      <c r="QTG129" s="3"/>
      <c r="QTH129" s="3"/>
      <c r="QTI129" s="3"/>
      <c r="QTJ129" s="3"/>
      <c r="QTK129" s="3"/>
      <c r="QTL129" s="3"/>
      <c r="QTM129" s="3"/>
      <c r="QTN129" s="3"/>
      <c r="QTO129" s="3"/>
      <c r="QTP129" s="3"/>
      <c r="QTQ129" s="3"/>
      <c r="QTR129" s="3"/>
      <c r="QTS129" s="3"/>
      <c r="QTT129" s="3"/>
      <c r="QTU129" s="3"/>
      <c r="QTV129" s="3"/>
      <c r="QTW129" s="3"/>
      <c r="QTX129" s="3"/>
      <c r="QTY129" s="3"/>
      <c r="QTZ129" s="3"/>
      <c r="QUA129" s="3"/>
      <c r="QUB129" s="3"/>
      <c r="QUC129" s="3"/>
      <c r="QUD129" s="3"/>
      <c r="QUE129" s="3"/>
      <c r="QUF129" s="3"/>
      <c r="QUG129" s="3"/>
      <c r="QUH129" s="3"/>
      <c r="QUI129" s="3"/>
      <c r="QUJ129" s="3"/>
      <c r="QUK129" s="3"/>
      <c r="QUL129" s="3"/>
      <c r="QUM129" s="3"/>
      <c r="QUN129" s="3"/>
      <c r="QUO129" s="3"/>
      <c r="QUP129" s="3"/>
      <c r="QUQ129" s="3"/>
      <c r="QUR129" s="3"/>
      <c r="QUS129" s="3"/>
      <c r="QUT129" s="3"/>
      <c r="QUU129" s="3"/>
      <c r="QUV129" s="3"/>
      <c r="QUW129" s="3"/>
      <c r="QUX129" s="3"/>
      <c r="QUY129" s="3"/>
      <c r="QUZ129" s="3"/>
      <c r="QVA129" s="3"/>
      <c r="QVB129" s="3"/>
      <c r="QVC129" s="3"/>
      <c r="QVD129" s="3"/>
      <c r="QVE129" s="3"/>
      <c r="QVF129" s="3"/>
      <c r="QVG129" s="3"/>
      <c r="QVH129" s="3"/>
      <c r="QVI129" s="3"/>
      <c r="QVJ129" s="3"/>
      <c r="QVK129" s="3"/>
      <c r="QVL129" s="3"/>
      <c r="QVM129" s="3"/>
      <c r="QVN129" s="3"/>
      <c r="QVO129" s="3"/>
      <c r="QVP129" s="3"/>
      <c r="QVQ129" s="3"/>
      <c r="QVR129" s="3"/>
      <c r="QVS129" s="3"/>
      <c r="QVT129" s="3"/>
      <c r="QVU129" s="3"/>
      <c r="QVV129" s="3"/>
      <c r="QVW129" s="3"/>
      <c r="QVX129" s="3"/>
      <c r="QVY129" s="3"/>
      <c r="QVZ129" s="3"/>
      <c r="QWA129" s="3"/>
      <c r="QWB129" s="3"/>
      <c r="QWC129" s="3"/>
      <c r="QWD129" s="3"/>
      <c r="QWE129" s="3"/>
      <c r="QWF129" s="3"/>
      <c r="QWG129" s="3"/>
      <c r="QWH129" s="3"/>
      <c r="QWI129" s="3"/>
      <c r="QWJ129" s="3"/>
      <c r="QWK129" s="3"/>
      <c r="QWL129" s="3"/>
      <c r="QWM129" s="3"/>
      <c r="QWN129" s="3"/>
      <c r="QWO129" s="3"/>
      <c r="QWP129" s="3"/>
      <c r="QWQ129" s="3"/>
      <c r="QWR129" s="3"/>
      <c r="QWS129" s="3"/>
      <c r="QWT129" s="3"/>
      <c r="QWU129" s="3"/>
      <c r="QWV129" s="3"/>
      <c r="QWW129" s="3"/>
      <c r="QWX129" s="3"/>
      <c r="QWY129" s="3"/>
      <c r="QWZ129" s="3"/>
      <c r="QXA129" s="3"/>
      <c r="QXB129" s="3"/>
      <c r="QXC129" s="3"/>
      <c r="QXD129" s="3"/>
      <c r="QXE129" s="3"/>
      <c r="QXF129" s="3"/>
      <c r="QXG129" s="3"/>
      <c r="QXH129" s="3"/>
      <c r="QXI129" s="3"/>
      <c r="QXJ129" s="3"/>
      <c r="QXK129" s="3"/>
      <c r="QXL129" s="3"/>
      <c r="QXM129" s="3"/>
      <c r="QXN129" s="3"/>
      <c r="QXO129" s="3"/>
      <c r="QXP129" s="3"/>
      <c r="QXQ129" s="3"/>
      <c r="QXR129" s="3"/>
      <c r="QXS129" s="3"/>
      <c r="QXT129" s="3"/>
      <c r="QXU129" s="3"/>
      <c r="QXV129" s="3"/>
      <c r="QXW129" s="3"/>
      <c r="QXX129" s="3"/>
      <c r="QXY129" s="3"/>
      <c r="QXZ129" s="3"/>
      <c r="QYA129" s="3"/>
      <c r="QYB129" s="3"/>
      <c r="QYC129" s="3"/>
      <c r="QYD129" s="3"/>
      <c r="QYE129" s="3"/>
      <c r="QYF129" s="3"/>
      <c r="QYG129" s="3"/>
      <c r="QYH129" s="3"/>
      <c r="QYI129" s="3"/>
      <c r="QYJ129" s="3"/>
      <c r="QYK129" s="3"/>
      <c r="QYL129" s="3"/>
      <c r="QYM129" s="3"/>
      <c r="QYN129" s="3"/>
      <c r="QYO129" s="3"/>
      <c r="QYP129" s="3"/>
      <c r="QYQ129" s="3"/>
      <c r="QYR129" s="3"/>
      <c r="QYS129" s="3"/>
      <c r="QYT129" s="3"/>
      <c r="QYU129" s="3"/>
      <c r="QYV129" s="3"/>
      <c r="QYW129" s="3"/>
      <c r="QYX129" s="3"/>
      <c r="QYY129" s="3"/>
      <c r="QYZ129" s="3"/>
      <c r="QZA129" s="3"/>
      <c r="QZB129" s="3"/>
      <c r="QZC129" s="3"/>
      <c r="QZD129" s="3"/>
      <c r="QZE129" s="3"/>
      <c r="QZF129" s="3"/>
      <c r="QZG129" s="3"/>
      <c r="QZH129" s="3"/>
      <c r="QZI129" s="3"/>
      <c r="QZJ129" s="3"/>
      <c r="QZK129" s="3"/>
      <c r="QZL129" s="3"/>
      <c r="QZM129" s="3"/>
      <c r="QZN129" s="3"/>
      <c r="QZO129" s="3"/>
      <c r="QZP129" s="3"/>
      <c r="QZQ129" s="3"/>
      <c r="QZR129" s="3"/>
      <c r="QZS129" s="3"/>
      <c r="QZT129" s="3"/>
      <c r="QZU129" s="3"/>
      <c r="QZV129" s="3"/>
      <c r="QZW129" s="3"/>
      <c r="QZX129" s="3"/>
      <c r="QZY129" s="3"/>
      <c r="QZZ129" s="3"/>
      <c r="RAA129" s="3"/>
      <c r="RAB129" s="3"/>
      <c r="RAC129" s="3"/>
      <c r="RAD129" s="3"/>
      <c r="RAE129" s="3"/>
      <c r="RAF129" s="3"/>
      <c r="RAG129" s="3"/>
      <c r="RAH129" s="3"/>
      <c r="RAI129" s="3"/>
      <c r="RAJ129" s="3"/>
      <c r="RAK129" s="3"/>
      <c r="RAL129" s="3"/>
      <c r="RAM129" s="3"/>
      <c r="RAN129" s="3"/>
      <c r="RAO129" s="3"/>
      <c r="RAP129" s="3"/>
      <c r="RAQ129" s="3"/>
      <c r="RAR129" s="3"/>
      <c r="RAS129" s="3"/>
      <c r="RAT129" s="3"/>
      <c r="RAU129" s="3"/>
      <c r="RAV129" s="3"/>
      <c r="RAW129" s="3"/>
      <c r="RAX129" s="3"/>
      <c r="RAY129" s="3"/>
      <c r="RAZ129" s="3"/>
      <c r="RBA129" s="3"/>
      <c r="RBB129" s="3"/>
      <c r="RBC129" s="3"/>
      <c r="RBD129" s="3"/>
      <c r="RBE129" s="3"/>
      <c r="RBF129" s="3"/>
      <c r="RBG129" s="3"/>
      <c r="RBH129" s="3"/>
      <c r="RBI129" s="3"/>
      <c r="RBJ129" s="3"/>
      <c r="RBK129" s="3"/>
      <c r="RBL129" s="3"/>
      <c r="RBM129" s="3"/>
      <c r="RBN129" s="3"/>
      <c r="RBO129" s="3"/>
      <c r="RBP129" s="3"/>
      <c r="RBQ129" s="3"/>
      <c r="RBR129" s="3"/>
      <c r="RBS129" s="3"/>
      <c r="RBT129" s="3"/>
      <c r="RBU129" s="3"/>
      <c r="RBV129" s="3"/>
      <c r="RBW129" s="3"/>
      <c r="RBX129" s="3"/>
      <c r="RBY129" s="3"/>
      <c r="RBZ129" s="3"/>
      <c r="RCA129" s="3"/>
      <c r="RCB129" s="3"/>
      <c r="RCC129" s="3"/>
      <c r="RCD129" s="3"/>
      <c r="RCE129" s="3"/>
      <c r="RCF129" s="3"/>
      <c r="RCG129" s="3"/>
      <c r="RCH129" s="3"/>
      <c r="RCI129" s="3"/>
      <c r="RCJ129" s="3"/>
      <c r="RCK129" s="3"/>
      <c r="RCL129" s="3"/>
      <c r="RCM129" s="3"/>
      <c r="RCN129" s="3"/>
      <c r="RCO129" s="3"/>
      <c r="RCP129" s="3"/>
      <c r="RCQ129" s="3"/>
      <c r="RCR129" s="3"/>
      <c r="RCS129" s="3"/>
      <c r="RCT129" s="3"/>
      <c r="RCU129" s="3"/>
      <c r="RCV129" s="3"/>
      <c r="RCW129" s="3"/>
      <c r="RCX129" s="3"/>
      <c r="RCY129" s="3"/>
      <c r="RCZ129" s="3"/>
      <c r="RDA129" s="3"/>
      <c r="RDB129" s="3"/>
      <c r="RDC129" s="3"/>
      <c r="RDD129" s="3"/>
      <c r="RDE129" s="3"/>
      <c r="RDF129" s="3"/>
      <c r="RDG129" s="3"/>
      <c r="RDH129" s="3"/>
      <c r="RDI129" s="3"/>
      <c r="RDJ129" s="3"/>
      <c r="RDK129" s="3"/>
      <c r="RDL129" s="3"/>
      <c r="RDM129" s="3"/>
      <c r="RDN129" s="3"/>
      <c r="RDO129" s="3"/>
      <c r="RDP129" s="3"/>
      <c r="RDQ129" s="3"/>
      <c r="RDR129" s="3"/>
      <c r="RDS129" s="3"/>
      <c r="RDT129" s="3"/>
      <c r="RDU129" s="3"/>
      <c r="RDV129" s="3"/>
      <c r="RDW129" s="3"/>
      <c r="RDX129" s="3"/>
      <c r="RDY129" s="3"/>
      <c r="RDZ129" s="3"/>
      <c r="REA129" s="3"/>
      <c r="REB129" s="3"/>
      <c r="REC129" s="3"/>
      <c r="RED129" s="3"/>
      <c r="REE129" s="3"/>
      <c r="REF129" s="3"/>
      <c r="REG129" s="3"/>
      <c r="REH129" s="3"/>
      <c r="REI129" s="3"/>
      <c r="REJ129" s="3"/>
      <c r="REK129" s="3"/>
      <c r="REL129" s="3"/>
      <c r="REM129" s="3"/>
      <c r="REN129" s="3"/>
      <c r="REO129" s="3"/>
      <c r="REP129" s="3"/>
      <c r="REQ129" s="3"/>
      <c r="RER129" s="3"/>
      <c r="RES129" s="3"/>
      <c r="RET129" s="3"/>
      <c r="REU129" s="3"/>
      <c r="REV129" s="3"/>
      <c r="REW129" s="3"/>
      <c r="REX129" s="3"/>
      <c r="REY129" s="3"/>
      <c r="REZ129" s="3"/>
      <c r="RFA129" s="3"/>
      <c r="RFB129" s="3"/>
      <c r="RFC129" s="3"/>
      <c r="RFD129" s="3"/>
      <c r="RFE129" s="3"/>
      <c r="RFF129" s="3"/>
      <c r="RFG129" s="3"/>
      <c r="RFH129" s="3"/>
      <c r="RFI129" s="3"/>
      <c r="RFJ129" s="3"/>
      <c r="RFK129" s="3"/>
      <c r="RFL129" s="3"/>
      <c r="RFM129" s="3"/>
      <c r="RFN129" s="3"/>
      <c r="RFO129" s="3"/>
      <c r="RFP129" s="3"/>
      <c r="RFQ129" s="3"/>
      <c r="RFR129" s="3"/>
      <c r="RFS129" s="3"/>
      <c r="RFT129" s="3"/>
      <c r="RFU129" s="3"/>
      <c r="RFV129" s="3"/>
      <c r="RFW129" s="3"/>
      <c r="RFX129" s="3"/>
      <c r="RFY129" s="3"/>
      <c r="RFZ129" s="3"/>
      <c r="RGA129" s="3"/>
      <c r="RGB129" s="3"/>
      <c r="RGC129" s="3"/>
      <c r="RGD129" s="3"/>
      <c r="RGE129" s="3"/>
      <c r="RGF129" s="3"/>
      <c r="RGG129" s="3"/>
      <c r="RGH129" s="3"/>
      <c r="RGI129" s="3"/>
      <c r="RGJ129" s="3"/>
      <c r="RGK129" s="3"/>
      <c r="RGL129" s="3"/>
      <c r="RGM129" s="3"/>
      <c r="RGN129" s="3"/>
      <c r="RGO129" s="3"/>
      <c r="RGP129" s="3"/>
      <c r="RGQ129" s="3"/>
      <c r="RGR129" s="3"/>
      <c r="RGS129" s="3"/>
      <c r="RGT129" s="3"/>
      <c r="RGU129" s="3"/>
      <c r="RGV129" s="3"/>
      <c r="RGW129" s="3"/>
      <c r="RGX129" s="3"/>
      <c r="RGY129" s="3"/>
      <c r="RGZ129" s="3"/>
      <c r="RHA129" s="3"/>
      <c r="RHB129" s="3"/>
      <c r="RHC129" s="3"/>
      <c r="RHD129" s="3"/>
      <c r="RHE129" s="3"/>
      <c r="RHF129" s="3"/>
      <c r="RHG129" s="3"/>
      <c r="RHH129" s="3"/>
      <c r="RHI129" s="3"/>
      <c r="RHJ129" s="3"/>
      <c r="RHK129" s="3"/>
      <c r="RHL129" s="3"/>
      <c r="RHM129" s="3"/>
      <c r="RHN129" s="3"/>
      <c r="RHO129" s="3"/>
      <c r="RHP129" s="3"/>
      <c r="RHQ129" s="3"/>
      <c r="RHR129" s="3"/>
      <c r="RHS129" s="3"/>
      <c r="RHT129" s="3"/>
      <c r="RHU129" s="3"/>
      <c r="RHV129" s="3"/>
      <c r="RHW129" s="3"/>
      <c r="RHX129" s="3"/>
      <c r="RHY129" s="3"/>
      <c r="RHZ129" s="3"/>
      <c r="RIA129" s="3"/>
      <c r="RIB129" s="3"/>
      <c r="RIC129" s="3"/>
      <c r="RID129" s="3"/>
      <c r="RIE129" s="3"/>
      <c r="RIF129" s="3"/>
      <c r="RIG129" s="3"/>
      <c r="RIH129" s="3"/>
      <c r="RII129" s="3"/>
      <c r="RIJ129" s="3"/>
      <c r="RIK129" s="3"/>
      <c r="RIL129" s="3"/>
      <c r="RIM129" s="3"/>
      <c r="RIN129" s="3"/>
      <c r="RIO129" s="3"/>
      <c r="RIP129" s="3"/>
      <c r="RIQ129" s="3"/>
      <c r="RIR129" s="3"/>
      <c r="RIS129" s="3"/>
      <c r="RIT129" s="3"/>
      <c r="RIU129" s="3"/>
      <c r="RIV129" s="3"/>
      <c r="RIW129" s="3"/>
      <c r="RIX129" s="3"/>
      <c r="RIY129" s="3"/>
      <c r="RIZ129" s="3"/>
      <c r="RJA129" s="3"/>
      <c r="RJB129" s="3"/>
      <c r="RJC129" s="3"/>
      <c r="RJD129" s="3"/>
      <c r="RJE129" s="3"/>
      <c r="RJF129" s="3"/>
      <c r="RJG129" s="3"/>
      <c r="RJH129" s="3"/>
      <c r="RJI129" s="3"/>
      <c r="RJJ129" s="3"/>
      <c r="RJK129" s="3"/>
      <c r="RJL129" s="3"/>
      <c r="RJM129" s="3"/>
      <c r="RJN129" s="3"/>
      <c r="RJO129" s="3"/>
      <c r="RJP129" s="3"/>
      <c r="RJQ129" s="3"/>
      <c r="RJR129" s="3"/>
      <c r="RJS129" s="3"/>
      <c r="RJT129" s="3"/>
      <c r="RJU129" s="3"/>
      <c r="RJV129" s="3"/>
      <c r="RJW129" s="3"/>
      <c r="RJX129" s="3"/>
      <c r="RJY129" s="3"/>
      <c r="RJZ129" s="3"/>
      <c r="RKA129" s="3"/>
      <c r="RKB129" s="3"/>
      <c r="RKC129" s="3"/>
      <c r="RKD129" s="3"/>
      <c r="RKE129" s="3"/>
      <c r="RKF129" s="3"/>
      <c r="RKG129" s="3"/>
      <c r="RKH129" s="3"/>
      <c r="RKI129" s="3"/>
      <c r="RKJ129" s="3"/>
      <c r="RKK129" s="3"/>
      <c r="RKL129" s="3"/>
      <c r="RKM129" s="3"/>
      <c r="RKN129" s="3"/>
      <c r="RKO129" s="3"/>
      <c r="RKP129" s="3"/>
      <c r="RKQ129" s="3"/>
      <c r="RKR129" s="3"/>
      <c r="RKS129" s="3"/>
      <c r="RKT129" s="3"/>
      <c r="RKU129" s="3"/>
      <c r="RKV129" s="3"/>
      <c r="RKW129" s="3"/>
      <c r="RKX129" s="3"/>
      <c r="RKY129" s="3"/>
      <c r="RKZ129" s="3"/>
      <c r="RLA129" s="3"/>
      <c r="RLB129" s="3"/>
      <c r="RLC129" s="3"/>
      <c r="RLD129" s="3"/>
      <c r="RLE129" s="3"/>
      <c r="RLF129" s="3"/>
      <c r="RLG129" s="3"/>
      <c r="RLH129" s="3"/>
      <c r="RLI129" s="3"/>
      <c r="RLJ129" s="3"/>
      <c r="RLK129" s="3"/>
      <c r="RLL129" s="3"/>
      <c r="RLM129" s="3"/>
      <c r="RLN129" s="3"/>
      <c r="RLO129" s="3"/>
      <c r="RLP129" s="3"/>
      <c r="RLQ129" s="3"/>
      <c r="RLR129" s="3"/>
      <c r="RLS129" s="3"/>
      <c r="RLT129" s="3"/>
      <c r="RLU129" s="3"/>
      <c r="RLV129" s="3"/>
      <c r="RLW129" s="3"/>
      <c r="RLX129" s="3"/>
      <c r="RLY129" s="3"/>
      <c r="RLZ129" s="3"/>
      <c r="RMA129" s="3"/>
      <c r="RMB129" s="3"/>
      <c r="RMC129" s="3"/>
      <c r="RMD129" s="3"/>
      <c r="RME129" s="3"/>
      <c r="RMF129" s="3"/>
      <c r="RMG129" s="3"/>
      <c r="RMH129" s="3"/>
      <c r="RMI129" s="3"/>
      <c r="RMJ129" s="3"/>
      <c r="RMK129" s="3"/>
      <c r="RML129" s="3"/>
      <c r="RMM129" s="3"/>
      <c r="RMN129" s="3"/>
      <c r="RMO129" s="3"/>
      <c r="RMP129" s="3"/>
      <c r="RMQ129" s="3"/>
      <c r="RMR129" s="3"/>
      <c r="RMS129" s="3"/>
      <c r="RMT129" s="3"/>
      <c r="RMU129" s="3"/>
      <c r="RMV129" s="3"/>
      <c r="RMW129" s="3"/>
      <c r="RMX129" s="3"/>
      <c r="RMY129" s="3"/>
      <c r="RMZ129" s="3"/>
      <c r="RNA129" s="3"/>
      <c r="RNB129" s="3"/>
      <c r="RNC129" s="3"/>
      <c r="RND129" s="3"/>
      <c r="RNE129" s="3"/>
      <c r="RNF129" s="3"/>
      <c r="RNG129" s="3"/>
      <c r="RNH129" s="3"/>
      <c r="RNI129" s="3"/>
      <c r="RNJ129" s="3"/>
      <c r="RNK129" s="3"/>
      <c r="RNL129" s="3"/>
      <c r="RNM129" s="3"/>
      <c r="RNN129" s="3"/>
      <c r="RNO129" s="3"/>
      <c r="RNP129" s="3"/>
      <c r="RNQ129" s="3"/>
      <c r="RNR129" s="3"/>
      <c r="RNS129" s="3"/>
      <c r="RNT129" s="3"/>
      <c r="RNU129" s="3"/>
      <c r="RNV129" s="3"/>
      <c r="RNW129" s="3"/>
      <c r="RNX129" s="3"/>
      <c r="RNY129" s="3"/>
      <c r="RNZ129" s="3"/>
      <c r="ROA129" s="3"/>
      <c r="ROB129" s="3"/>
      <c r="ROC129" s="3"/>
      <c r="ROD129" s="3"/>
      <c r="ROE129" s="3"/>
      <c r="ROF129" s="3"/>
      <c r="ROG129" s="3"/>
      <c r="ROH129" s="3"/>
      <c r="ROI129" s="3"/>
      <c r="ROJ129" s="3"/>
      <c r="ROK129" s="3"/>
      <c r="ROL129" s="3"/>
      <c r="ROM129" s="3"/>
      <c r="RON129" s="3"/>
      <c r="ROO129" s="3"/>
      <c r="ROP129" s="3"/>
      <c r="ROQ129" s="3"/>
      <c r="ROR129" s="3"/>
      <c r="ROS129" s="3"/>
      <c r="ROT129" s="3"/>
      <c r="ROU129" s="3"/>
      <c r="ROV129" s="3"/>
      <c r="ROW129" s="3"/>
      <c r="ROX129" s="3"/>
      <c r="ROY129" s="3"/>
      <c r="ROZ129" s="3"/>
      <c r="RPA129" s="3"/>
      <c r="RPB129" s="3"/>
      <c r="RPC129" s="3"/>
      <c r="RPD129" s="3"/>
      <c r="RPE129" s="3"/>
      <c r="RPF129" s="3"/>
      <c r="RPG129" s="3"/>
      <c r="RPH129" s="3"/>
      <c r="RPI129" s="3"/>
      <c r="RPJ129" s="3"/>
      <c r="RPK129" s="3"/>
      <c r="RPL129" s="3"/>
      <c r="RPM129" s="3"/>
      <c r="RPN129" s="3"/>
      <c r="RPO129" s="3"/>
      <c r="RPP129" s="3"/>
      <c r="RPQ129" s="3"/>
      <c r="RPR129" s="3"/>
      <c r="RPS129" s="3"/>
      <c r="RPT129" s="3"/>
      <c r="RPU129" s="3"/>
      <c r="RPV129" s="3"/>
      <c r="RPW129" s="3"/>
      <c r="RPX129" s="3"/>
      <c r="RPY129" s="3"/>
      <c r="RPZ129" s="3"/>
      <c r="RQA129" s="3"/>
      <c r="RQB129" s="3"/>
      <c r="RQC129" s="3"/>
      <c r="RQD129" s="3"/>
      <c r="RQE129" s="3"/>
      <c r="RQF129" s="3"/>
      <c r="RQG129" s="3"/>
      <c r="RQH129" s="3"/>
      <c r="RQI129" s="3"/>
      <c r="RQJ129" s="3"/>
      <c r="RQK129" s="3"/>
      <c r="RQL129" s="3"/>
      <c r="RQM129" s="3"/>
      <c r="RQN129" s="3"/>
      <c r="RQO129" s="3"/>
      <c r="RQP129" s="3"/>
      <c r="RQQ129" s="3"/>
      <c r="RQR129" s="3"/>
      <c r="RQS129" s="3"/>
      <c r="RQT129" s="3"/>
      <c r="RQU129" s="3"/>
      <c r="RQV129" s="3"/>
      <c r="RQW129" s="3"/>
      <c r="RQX129" s="3"/>
      <c r="RQY129" s="3"/>
      <c r="RQZ129" s="3"/>
      <c r="RRA129" s="3"/>
      <c r="RRB129" s="3"/>
      <c r="RRC129" s="3"/>
      <c r="RRD129" s="3"/>
      <c r="RRE129" s="3"/>
      <c r="RRF129" s="3"/>
      <c r="RRG129" s="3"/>
      <c r="RRH129" s="3"/>
      <c r="RRI129" s="3"/>
      <c r="RRJ129" s="3"/>
      <c r="RRK129" s="3"/>
      <c r="RRL129" s="3"/>
      <c r="RRM129" s="3"/>
      <c r="RRN129" s="3"/>
      <c r="RRO129" s="3"/>
      <c r="RRP129" s="3"/>
      <c r="RRQ129" s="3"/>
      <c r="RRR129" s="3"/>
      <c r="RRS129" s="3"/>
      <c r="RRT129" s="3"/>
      <c r="RRU129" s="3"/>
      <c r="RRV129" s="3"/>
      <c r="RRW129" s="3"/>
      <c r="RRX129" s="3"/>
      <c r="RRY129" s="3"/>
      <c r="RRZ129" s="3"/>
      <c r="RSA129" s="3"/>
      <c r="RSB129" s="3"/>
      <c r="RSC129" s="3"/>
      <c r="RSD129" s="3"/>
      <c r="RSE129" s="3"/>
      <c r="RSF129" s="3"/>
      <c r="RSG129" s="3"/>
      <c r="RSH129" s="3"/>
      <c r="RSI129" s="3"/>
      <c r="RSJ129" s="3"/>
      <c r="RSK129" s="3"/>
      <c r="RSL129" s="3"/>
      <c r="RSM129" s="3"/>
      <c r="RSN129" s="3"/>
      <c r="RSO129" s="3"/>
      <c r="RSP129" s="3"/>
      <c r="RSQ129" s="3"/>
      <c r="RSR129" s="3"/>
      <c r="RSS129" s="3"/>
      <c r="RST129" s="3"/>
      <c r="RSU129" s="3"/>
      <c r="RSV129" s="3"/>
      <c r="RSW129" s="3"/>
      <c r="RSX129" s="3"/>
      <c r="RSY129" s="3"/>
      <c r="RSZ129" s="3"/>
      <c r="RTA129" s="3"/>
      <c r="RTB129" s="3"/>
      <c r="RTC129" s="3"/>
      <c r="RTD129" s="3"/>
      <c r="RTE129" s="3"/>
      <c r="RTF129" s="3"/>
      <c r="RTG129" s="3"/>
      <c r="RTH129" s="3"/>
      <c r="RTI129" s="3"/>
      <c r="RTJ129" s="3"/>
      <c r="RTK129" s="3"/>
      <c r="RTL129" s="3"/>
      <c r="RTM129" s="3"/>
      <c r="RTN129" s="3"/>
      <c r="RTO129" s="3"/>
      <c r="RTP129" s="3"/>
      <c r="RTQ129" s="3"/>
      <c r="RTR129" s="3"/>
      <c r="RTS129" s="3"/>
      <c r="RTT129" s="3"/>
      <c r="RTU129" s="3"/>
      <c r="RTV129" s="3"/>
      <c r="RTW129" s="3"/>
      <c r="RTX129" s="3"/>
      <c r="RTY129" s="3"/>
      <c r="RTZ129" s="3"/>
      <c r="RUA129" s="3"/>
      <c r="RUB129" s="3"/>
      <c r="RUC129" s="3"/>
      <c r="RUD129" s="3"/>
      <c r="RUE129" s="3"/>
      <c r="RUF129" s="3"/>
      <c r="RUG129" s="3"/>
      <c r="RUH129" s="3"/>
      <c r="RUI129" s="3"/>
      <c r="RUJ129" s="3"/>
      <c r="RUK129" s="3"/>
      <c r="RUL129" s="3"/>
      <c r="RUM129" s="3"/>
      <c r="RUN129" s="3"/>
      <c r="RUO129" s="3"/>
      <c r="RUP129" s="3"/>
      <c r="RUQ129" s="3"/>
      <c r="RUR129" s="3"/>
      <c r="RUS129" s="3"/>
      <c r="RUT129" s="3"/>
      <c r="RUU129" s="3"/>
      <c r="RUV129" s="3"/>
      <c r="RUW129" s="3"/>
      <c r="RUX129" s="3"/>
      <c r="RUY129" s="3"/>
      <c r="RUZ129" s="3"/>
      <c r="RVA129" s="3"/>
      <c r="RVB129" s="3"/>
      <c r="RVC129" s="3"/>
      <c r="RVD129" s="3"/>
      <c r="RVE129" s="3"/>
      <c r="RVF129" s="3"/>
      <c r="RVG129" s="3"/>
      <c r="RVH129" s="3"/>
      <c r="RVI129" s="3"/>
      <c r="RVJ129" s="3"/>
      <c r="RVK129" s="3"/>
      <c r="RVL129" s="3"/>
      <c r="RVM129" s="3"/>
      <c r="RVN129" s="3"/>
      <c r="RVO129" s="3"/>
      <c r="RVP129" s="3"/>
      <c r="RVQ129" s="3"/>
      <c r="RVR129" s="3"/>
      <c r="RVS129" s="3"/>
      <c r="RVT129" s="3"/>
      <c r="RVU129" s="3"/>
      <c r="RVV129" s="3"/>
      <c r="RVW129" s="3"/>
      <c r="RVX129" s="3"/>
      <c r="RVY129" s="3"/>
      <c r="RVZ129" s="3"/>
      <c r="RWA129" s="3"/>
      <c r="RWB129" s="3"/>
      <c r="RWC129" s="3"/>
      <c r="RWD129" s="3"/>
      <c r="RWE129" s="3"/>
      <c r="RWF129" s="3"/>
      <c r="RWG129" s="3"/>
      <c r="RWH129" s="3"/>
      <c r="RWI129" s="3"/>
      <c r="RWJ129" s="3"/>
      <c r="RWK129" s="3"/>
      <c r="RWL129" s="3"/>
      <c r="RWM129" s="3"/>
      <c r="RWN129" s="3"/>
      <c r="RWO129" s="3"/>
      <c r="RWP129" s="3"/>
      <c r="RWQ129" s="3"/>
      <c r="RWR129" s="3"/>
      <c r="RWS129" s="3"/>
      <c r="RWT129" s="3"/>
      <c r="RWU129" s="3"/>
      <c r="RWV129" s="3"/>
      <c r="RWW129" s="3"/>
      <c r="RWX129" s="3"/>
      <c r="RWY129" s="3"/>
      <c r="RWZ129" s="3"/>
      <c r="RXA129" s="3"/>
      <c r="RXB129" s="3"/>
      <c r="RXC129" s="3"/>
      <c r="RXD129" s="3"/>
      <c r="RXE129" s="3"/>
      <c r="RXF129" s="3"/>
      <c r="RXG129" s="3"/>
      <c r="RXH129" s="3"/>
      <c r="RXI129" s="3"/>
      <c r="RXJ129" s="3"/>
      <c r="RXK129" s="3"/>
      <c r="RXL129" s="3"/>
      <c r="RXM129" s="3"/>
      <c r="RXN129" s="3"/>
      <c r="RXO129" s="3"/>
      <c r="RXP129" s="3"/>
      <c r="RXQ129" s="3"/>
      <c r="RXR129" s="3"/>
      <c r="RXS129" s="3"/>
      <c r="RXT129" s="3"/>
      <c r="RXU129" s="3"/>
      <c r="RXV129" s="3"/>
      <c r="RXW129" s="3"/>
      <c r="RXX129" s="3"/>
      <c r="RXY129" s="3"/>
      <c r="RXZ129" s="3"/>
      <c r="RYA129" s="3"/>
      <c r="RYB129" s="3"/>
      <c r="RYC129" s="3"/>
      <c r="RYD129" s="3"/>
      <c r="RYE129" s="3"/>
      <c r="RYF129" s="3"/>
      <c r="RYG129" s="3"/>
      <c r="RYH129" s="3"/>
      <c r="RYI129" s="3"/>
      <c r="RYJ129" s="3"/>
      <c r="RYK129" s="3"/>
      <c r="RYL129" s="3"/>
      <c r="RYM129" s="3"/>
      <c r="RYN129" s="3"/>
      <c r="RYO129" s="3"/>
      <c r="RYP129" s="3"/>
      <c r="RYQ129" s="3"/>
      <c r="RYR129" s="3"/>
      <c r="RYS129" s="3"/>
      <c r="RYT129" s="3"/>
      <c r="RYU129" s="3"/>
      <c r="RYV129" s="3"/>
      <c r="RYW129" s="3"/>
      <c r="RYX129" s="3"/>
      <c r="RYY129" s="3"/>
      <c r="RYZ129" s="3"/>
      <c r="RZA129" s="3"/>
      <c r="RZB129" s="3"/>
      <c r="RZC129" s="3"/>
      <c r="RZD129" s="3"/>
      <c r="RZE129" s="3"/>
      <c r="RZF129" s="3"/>
      <c r="RZG129" s="3"/>
      <c r="RZH129" s="3"/>
      <c r="RZI129" s="3"/>
      <c r="RZJ129" s="3"/>
      <c r="RZK129" s="3"/>
      <c r="RZL129" s="3"/>
      <c r="RZM129" s="3"/>
      <c r="RZN129" s="3"/>
      <c r="RZO129" s="3"/>
      <c r="RZP129" s="3"/>
      <c r="RZQ129" s="3"/>
      <c r="RZR129" s="3"/>
      <c r="RZS129" s="3"/>
      <c r="RZT129" s="3"/>
      <c r="RZU129" s="3"/>
      <c r="RZV129" s="3"/>
      <c r="RZW129" s="3"/>
      <c r="RZX129" s="3"/>
      <c r="RZY129" s="3"/>
      <c r="RZZ129" s="3"/>
      <c r="SAA129" s="3"/>
      <c r="SAB129" s="3"/>
      <c r="SAC129" s="3"/>
      <c r="SAD129" s="3"/>
      <c r="SAE129" s="3"/>
      <c r="SAF129" s="3"/>
      <c r="SAG129" s="3"/>
      <c r="SAH129" s="3"/>
      <c r="SAI129" s="3"/>
      <c r="SAJ129" s="3"/>
      <c r="SAK129" s="3"/>
      <c r="SAL129" s="3"/>
      <c r="SAM129" s="3"/>
      <c r="SAN129" s="3"/>
      <c r="SAO129" s="3"/>
      <c r="SAP129" s="3"/>
      <c r="SAQ129" s="3"/>
      <c r="SAR129" s="3"/>
      <c r="SAS129" s="3"/>
      <c r="SAT129" s="3"/>
      <c r="SAU129" s="3"/>
      <c r="SAV129" s="3"/>
      <c r="SAW129" s="3"/>
      <c r="SAX129" s="3"/>
      <c r="SAY129" s="3"/>
      <c r="SAZ129" s="3"/>
      <c r="SBA129" s="3"/>
      <c r="SBB129" s="3"/>
      <c r="SBC129" s="3"/>
      <c r="SBD129" s="3"/>
      <c r="SBE129" s="3"/>
      <c r="SBF129" s="3"/>
      <c r="SBG129" s="3"/>
      <c r="SBH129" s="3"/>
      <c r="SBI129" s="3"/>
      <c r="SBJ129" s="3"/>
      <c r="SBK129" s="3"/>
      <c r="SBL129" s="3"/>
      <c r="SBM129" s="3"/>
      <c r="SBN129" s="3"/>
      <c r="SBO129" s="3"/>
      <c r="SBP129" s="3"/>
      <c r="SBQ129" s="3"/>
      <c r="SBR129" s="3"/>
      <c r="SBS129" s="3"/>
      <c r="SBT129" s="3"/>
      <c r="SBU129" s="3"/>
      <c r="SBV129" s="3"/>
      <c r="SBW129" s="3"/>
      <c r="SBX129" s="3"/>
      <c r="SBY129" s="3"/>
      <c r="SBZ129" s="3"/>
      <c r="SCA129" s="3"/>
      <c r="SCB129" s="3"/>
      <c r="SCC129" s="3"/>
      <c r="SCD129" s="3"/>
      <c r="SCE129" s="3"/>
      <c r="SCF129" s="3"/>
      <c r="SCG129" s="3"/>
      <c r="SCH129" s="3"/>
      <c r="SCI129" s="3"/>
      <c r="SCJ129" s="3"/>
      <c r="SCK129" s="3"/>
      <c r="SCL129" s="3"/>
      <c r="SCM129" s="3"/>
      <c r="SCN129" s="3"/>
      <c r="SCO129" s="3"/>
      <c r="SCP129" s="3"/>
      <c r="SCQ129" s="3"/>
      <c r="SCR129" s="3"/>
      <c r="SCS129" s="3"/>
      <c r="SCT129" s="3"/>
      <c r="SCU129" s="3"/>
      <c r="SCV129" s="3"/>
      <c r="SCW129" s="3"/>
      <c r="SCX129" s="3"/>
      <c r="SCY129" s="3"/>
      <c r="SCZ129" s="3"/>
      <c r="SDA129" s="3"/>
      <c r="SDB129" s="3"/>
      <c r="SDC129" s="3"/>
      <c r="SDD129" s="3"/>
      <c r="SDE129" s="3"/>
      <c r="SDF129" s="3"/>
      <c r="SDG129" s="3"/>
      <c r="SDH129" s="3"/>
      <c r="SDI129" s="3"/>
      <c r="SDJ129" s="3"/>
      <c r="SDK129" s="3"/>
      <c r="SDL129" s="3"/>
      <c r="SDM129" s="3"/>
      <c r="SDN129" s="3"/>
      <c r="SDO129" s="3"/>
      <c r="SDP129" s="3"/>
      <c r="SDQ129" s="3"/>
      <c r="SDR129" s="3"/>
      <c r="SDS129" s="3"/>
      <c r="SDT129" s="3"/>
      <c r="SDU129" s="3"/>
      <c r="SDV129" s="3"/>
      <c r="SDW129" s="3"/>
      <c r="SDX129" s="3"/>
      <c r="SDY129" s="3"/>
      <c r="SDZ129" s="3"/>
      <c r="SEA129" s="3"/>
      <c r="SEB129" s="3"/>
      <c r="SEC129" s="3"/>
      <c r="SED129" s="3"/>
      <c r="SEE129" s="3"/>
      <c r="SEF129" s="3"/>
      <c r="SEG129" s="3"/>
      <c r="SEH129" s="3"/>
      <c r="SEI129" s="3"/>
      <c r="SEJ129" s="3"/>
      <c r="SEK129" s="3"/>
      <c r="SEL129" s="3"/>
      <c r="SEM129" s="3"/>
      <c r="SEN129" s="3"/>
      <c r="SEO129" s="3"/>
      <c r="SEP129" s="3"/>
      <c r="SEQ129" s="3"/>
      <c r="SER129" s="3"/>
      <c r="SES129" s="3"/>
      <c r="SET129" s="3"/>
      <c r="SEU129" s="3"/>
      <c r="SEV129" s="3"/>
      <c r="SEW129" s="3"/>
      <c r="SEX129" s="3"/>
      <c r="SEY129" s="3"/>
      <c r="SEZ129" s="3"/>
      <c r="SFA129" s="3"/>
      <c r="SFB129" s="3"/>
      <c r="SFC129" s="3"/>
      <c r="SFD129" s="3"/>
      <c r="SFE129" s="3"/>
      <c r="SFF129" s="3"/>
      <c r="SFG129" s="3"/>
      <c r="SFH129" s="3"/>
      <c r="SFI129" s="3"/>
      <c r="SFJ129" s="3"/>
      <c r="SFK129" s="3"/>
      <c r="SFL129" s="3"/>
      <c r="SFM129" s="3"/>
      <c r="SFN129" s="3"/>
      <c r="SFO129" s="3"/>
      <c r="SFP129" s="3"/>
      <c r="SFQ129" s="3"/>
      <c r="SFR129" s="3"/>
      <c r="SFS129" s="3"/>
      <c r="SFT129" s="3"/>
      <c r="SFU129" s="3"/>
      <c r="SFV129" s="3"/>
      <c r="SFW129" s="3"/>
      <c r="SFX129" s="3"/>
      <c r="SFY129" s="3"/>
      <c r="SFZ129" s="3"/>
      <c r="SGA129" s="3"/>
      <c r="SGB129" s="3"/>
      <c r="SGC129" s="3"/>
      <c r="SGD129" s="3"/>
      <c r="SGE129" s="3"/>
      <c r="SGF129" s="3"/>
      <c r="SGG129" s="3"/>
      <c r="SGH129" s="3"/>
      <c r="SGI129" s="3"/>
      <c r="SGJ129" s="3"/>
      <c r="SGK129" s="3"/>
      <c r="SGL129" s="3"/>
      <c r="SGM129" s="3"/>
      <c r="SGN129" s="3"/>
      <c r="SGO129" s="3"/>
      <c r="SGP129" s="3"/>
      <c r="SGQ129" s="3"/>
      <c r="SGR129" s="3"/>
      <c r="SGS129" s="3"/>
      <c r="SGT129" s="3"/>
      <c r="SGU129" s="3"/>
      <c r="SGV129" s="3"/>
      <c r="SGW129" s="3"/>
      <c r="SGX129" s="3"/>
      <c r="SGY129" s="3"/>
      <c r="SGZ129" s="3"/>
      <c r="SHA129" s="3"/>
      <c r="SHB129" s="3"/>
      <c r="SHC129" s="3"/>
      <c r="SHD129" s="3"/>
      <c r="SHE129" s="3"/>
      <c r="SHF129" s="3"/>
      <c r="SHG129" s="3"/>
      <c r="SHH129" s="3"/>
      <c r="SHI129" s="3"/>
      <c r="SHJ129" s="3"/>
      <c r="SHK129" s="3"/>
      <c r="SHL129" s="3"/>
      <c r="SHM129" s="3"/>
      <c r="SHN129" s="3"/>
      <c r="SHO129" s="3"/>
      <c r="SHP129" s="3"/>
      <c r="SHQ129" s="3"/>
      <c r="SHR129" s="3"/>
      <c r="SHS129" s="3"/>
      <c r="SHT129" s="3"/>
      <c r="SHU129" s="3"/>
      <c r="SHV129" s="3"/>
      <c r="SHW129" s="3"/>
      <c r="SHX129" s="3"/>
      <c r="SHY129" s="3"/>
      <c r="SHZ129" s="3"/>
      <c r="SIA129" s="3"/>
      <c r="SIB129" s="3"/>
      <c r="SIC129" s="3"/>
      <c r="SID129" s="3"/>
      <c r="SIE129" s="3"/>
      <c r="SIF129" s="3"/>
      <c r="SIG129" s="3"/>
      <c r="SIH129" s="3"/>
      <c r="SII129" s="3"/>
      <c r="SIJ129" s="3"/>
      <c r="SIK129" s="3"/>
      <c r="SIL129" s="3"/>
      <c r="SIM129" s="3"/>
      <c r="SIN129" s="3"/>
      <c r="SIO129" s="3"/>
      <c r="SIP129" s="3"/>
      <c r="SIQ129" s="3"/>
      <c r="SIR129" s="3"/>
      <c r="SIS129" s="3"/>
      <c r="SIT129" s="3"/>
      <c r="SIU129" s="3"/>
      <c r="SIV129" s="3"/>
      <c r="SIW129" s="3"/>
      <c r="SIX129" s="3"/>
      <c r="SIY129" s="3"/>
      <c r="SIZ129" s="3"/>
      <c r="SJA129" s="3"/>
      <c r="SJB129" s="3"/>
      <c r="SJC129" s="3"/>
      <c r="SJD129" s="3"/>
      <c r="SJE129" s="3"/>
      <c r="SJF129" s="3"/>
      <c r="SJG129" s="3"/>
      <c r="SJH129" s="3"/>
      <c r="SJI129" s="3"/>
      <c r="SJJ129" s="3"/>
      <c r="SJK129" s="3"/>
      <c r="SJL129" s="3"/>
      <c r="SJM129" s="3"/>
      <c r="SJN129" s="3"/>
      <c r="SJO129" s="3"/>
      <c r="SJP129" s="3"/>
      <c r="SJQ129" s="3"/>
      <c r="SJR129" s="3"/>
      <c r="SJS129" s="3"/>
      <c r="SJT129" s="3"/>
      <c r="SJU129" s="3"/>
      <c r="SJV129" s="3"/>
      <c r="SJW129" s="3"/>
      <c r="SJX129" s="3"/>
      <c r="SJY129" s="3"/>
      <c r="SJZ129" s="3"/>
      <c r="SKA129" s="3"/>
      <c r="SKB129" s="3"/>
      <c r="SKC129" s="3"/>
      <c r="SKD129" s="3"/>
      <c r="SKE129" s="3"/>
      <c r="SKF129" s="3"/>
      <c r="SKG129" s="3"/>
      <c r="SKH129" s="3"/>
      <c r="SKI129" s="3"/>
      <c r="SKJ129" s="3"/>
      <c r="SKK129" s="3"/>
      <c r="SKL129" s="3"/>
      <c r="SKM129" s="3"/>
      <c r="SKN129" s="3"/>
      <c r="SKO129" s="3"/>
      <c r="SKP129" s="3"/>
      <c r="SKQ129" s="3"/>
      <c r="SKR129" s="3"/>
      <c r="SKS129" s="3"/>
      <c r="SKT129" s="3"/>
      <c r="SKU129" s="3"/>
      <c r="SKV129" s="3"/>
      <c r="SKW129" s="3"/>
      <c r="SKX129" s="3"/>
      <c r="SKY129" s="3"/>
      <c r="SKZ129" s="3"/>
      <c r="SLA129" s="3"/>
      <c r="SLB129" s="3"/>
      <c r="SLC129" s="3"/>
      <c r="SLD129" s="3"/>
      <c r="SLE129" s="3"/>
      <c r="SLF129" s="3"/>
      <c r="SLG129" s="3"/>
      <c r="SLH129" s="3"/>
      <c r="SLI129" s="3"/>
      <c r="SLJ129" s="3"/>
      <c r="SLK129" s="3"/>
      <c r="SLL129" s="3"/>
      <c r="SLM129" s="3"/>
      <c r="SLN129" s="3"/>
      <c r="SLO129" s="3"/>
      <c r="SLP129" s="3"/>
      <c r="SLQ129" s="3"/>
      <c r="SLR129" s="3"/>
      <c r="SLS129" s="3"/>
      <c r="SLT129" s="3"/>
      <c r="SLU129" s="3"/>
      <c r="SLV129" s="3"/>
      <c r="SLW129" s="3"/>
      <c r="SLX129" s="3"/>
      <c r="SLY129" s="3"/>
      <c r="SLZ129" s="3"/>
      <c r="SMA129" s="3"/>
      <c r="SMB129" s="3"/>
      <c r="SMC129" s="3"/>
      <c r="SMD129" s="3"/>
      <c r="SME129" s="3"/>
      <c r="SMF129" s="3"/>
      <c r="SMG129" s="3"/>
      <c r="SMH129" s="3"/>
      <c r="SMI129" s="3"/>
      <c r="SMJ129" s="3"/>
      <c r="SMK129" s="3"/>
      <c r="SML129" s="3"/>
      <c r="SMM129" s="3"/>
      <c r="SMN129" s="3"/>
      <c r="SMO129" s="3"/>
      <c r="SMP129" s="3"/>
      <c r="SMQ129" s="3"/>
      <c r="SMR129" s="3"/>
      <c r="SMS129" s="3"/>
      <c r="SMT129" s="3"/>
      <c r="SMU129" s="3"/>
      <c r="SMV129" s="3"/>
      <c r="SMW129" s="3"/>
      <c r="SMX129" s="3"/>
      <c r="SMY129" s="3"/>
      <c r="SMZ129" s="3"/>
      <c r="SNA129" s="3"/>
      <c r="SNB129" s="3"/>
      <c r="SNC129" s="3"/>
      <c r="SND129" s="3"/>
      <c r="SNE129" s="3"/>
      <c r="SNF129" s="3"/>
      <c r="SNG129" s="3"/>
      <c r="SNH129" s="3"/>
      <c r="SNI129" s="3"/>
      <c r="SNJ129" s="3"/>
      <c r="SNK129" s="3"/>
      <c r="SNL129" s="3"/>
      <c r="SNM129" s="3"/>
      <c r="SNN129" s="3"/>
      <c r="SNO129" s="3"/>
      <c r="SNP129" s="3"/>
      <c r="SNQ129" s="3"/>
      <c r="SNR129" s="3"/>
      <c r="SNS129" s="3"/>
      <c r="SNT129" s="3"/>
      <c r="SNU129" s="3"/>
      <c r="SNV129" s="3"/>
      <c r="SNW129" s="3"/>
      <c r="SNX129" s="3"/>
      <c r="SNY129" s="3"/>
      <c r="SNZ129" s="3"/>
      <c r="SOA129" s="3"/>
      <c r="SOB129" s="3"/>
      <c r="SOC129" s="3"/>
      <c r="SOD129" s="3"/>
      <c r="SOE129" s="3"/>
      <c r="SOF129" s="3"/>
      <c r="SOG129" s="3"/>
      <c r="SOH129" s="3"/>
      <c r="SOI129" s="3"/>
      <c r="SOJ129" s="3"/>
      <c r="SOK129" s="3"/>
      <c r="SOL129" s="3"/>
      <c r="SOM129" s="3"/>
      <c r="SON129" s="3"/>
      <c r="SOO129" s="3"/>
      <c r="SOP129" s="3"/>
      <c r="SOQ129" s="3"/>
      <c r="SOR129" s="3"/>
      <c r="SOS129" s="3"/>
      <c r="SOT129" s="3"/>
      <c r="SOU129" s="3"/>
      <c r="SOV129" s="3"/>
      <c r="SOW129" s="3"/>
      <c r="SOX129" s="3"/>
      <c r="SOY129" s="3"/>
      <c r="SOZ129" s="3"/>
      <c r="SPA129" s="3"/>
      <c r="SPB129" s="3"/>
      <c r="SPC129" s="3"/>
      <c r="SPD129" s="3"/>
      <c r="SPE129" s="3"/>
      <c r="SPF129" s="3"/>
      <c r="SPG129" s="3"/>
      <c r="SPH129" s="3"/>
      <c r="SPI129" s="3"/>
      <c r="SPJ129" s="3"/>
      <c r="SPK129" s="3"/>
      <c r="SPL129" s="3"/>
      <c r="SPM129" s="3"/>
      <c r="SPN129" s="3"/>
      <c r="SPO129" s="3"/>
      <c r="SPP129" s="3"/>
      <c r="SPQ129" s="3"/>
      <c r="SPR129" s="3"/>
      <c r="SPS129" s="3"/>
      <c r="SPT129" s="3"/>
      <c r="SPU129" s="3"/>
      <c r="SPV129" s="3"/>
      <c r="SPW129" s="3"/>
      <c r="SPX129" s="3"/>
      <c r="SPY129" s="3"/>
      <c r="SPZ129" s="3"/>
      <c r="SQA129" s="3"/>
      <c r="SQB129" s="3"/>
      <c r="SQC129" s="3"/>
      <c r="SQD129" s="3"/>
      <c r="SQE129" s="3"/>
      <c r="SQF129" s="3"/>
      <c r="SQG129" s="3"/>
      <c r="SQH129" s="3"/>
      <c r="SQI129" s="3"/>
      <c r="SQJ129" s="3"/>
      <c r="SQK129" s="3"/>
      <c r="SQL129" s="3"/>
      <c r="SQM129" s="3"/>
      <c r="SQN129" s="3"/>
      <c r="SQO129" s="3"/>
      <c r="SQP129" s="3"/>
      <c r="SQQ129" s="3"/>
      <c r="SQR129" s="3"/>
      <c r="SQS129" s="3"/>
      <c r="SQT129" s="3"/>
      <c r="SQU129" s="3"/>
      <c r="SQV129" s="3"/>
      <c r="SQW129" s="3"/>
      <c r="SQX129" s="3"/>
      <c r="SQY129" s="3"/>
      <c r="SQZ129" s="3"/>
      <c r="SRA129" s="3"/>
      <c r="SRB129" s="3"/>
      <c r="SRC129" s="3"/>
      <c r="SRD129" s="3"/>
      <c r="SRE129" s="3"/>
      <c r="SRF129" s="3"/>
      <c r="SRG129" s="3"/>
      <c r="SRH129" s="3"/>
      <c r="SRI129" s="3"/>
      <c r="SRJ129" s="3"/>
      <c r="SRK129" s="3"/>
      <c r="SRL129" s="3"/>
      <c r="SRM129" s="3"/>
      <c r="SRN129" s="3"/>
      <c r="SRO129" s="3"/>
      <c r="SRP129" s="3"/>
      <c r="SRQ129" s="3"/>
      <c r="SRR129" s="3"/>
      <c r="SRS129" s="3"/>
      <c r="SRT129" s="3"/>
      <c r="SRU129" s="3"/>
      <c r="SRV129" s="3"/>
      <c r="SRW129" s="3"/>
      <c r="SRX129" s="3"/>
      <c r="SRY129" s="3"/>
      <c r="SRZ129" s="3"/>
      <c r="SSA129" s="3"/>
      <c r="SSB129" s="3"/>
      <c r="SSC129" s="3"/>
      <c r="SSD129" s="3"/>
      <c r="SSE129" s="3"/>
      <c r="SSF129" s="3"/>
      <c r="SSG129" s="3"/>
      <c r="SSH129" s="3"/>
      <c r="SSI129" s="3"/>
      <c r="SSJ129" s="3"/>
      <c r="SSK129" s="3"/>
      <c r="SSL129" s="3"/>
      <c r="SSM129" s="3"/>
      <c r="SSN129" s="3"/>
      <c r="SSO129" s="3"/>
      <c r="SSP129" s="3"/>
      <c r="SSQ129" s="3"/>
      <c r="SSR129" s="3"/>
      <c r="SSS129" s="3"/>
      <c r="SST129" s="3"/>
      <c r="SSU129" s="3"/>
      <c r="SSV129" s="3"/>
      <c r="SSW129" s="3"/>
      <c r="SSX129" s="3"/>
      <c r="SSY129" s="3"/>
      <c r="SSZ129" s="3"/>
      <c r="STA129" s="3"/>
      <c r="STB129" s="3"/>
      <c r="STC129" s="3"/>
      <c r="STD129" s="3"/>
      <c r="STE129" s="3"/>
      <c r="STF129" s="3"/>
      <c r="STG129" s="3"/>
      <c r="STH129" s="3"/>
      <c r="STI129" s="3"/>
      <c r="STJ129" s="3"/>
      <c r="STK129" s="3"/>
      <c r="STL129" s="3"/>
      <c r="STM129" s="3"/>
      <c r="STN129" s="3"/>
      <c r="STO129" s="3"/>
      <c r="STP129" s="3"/>
      <c r="STQ129" s="3"/>
      <c r="STR129" s="3"/>
      <c r="STS129" s="3"/>
      <c r="STT129" s="3"/>
      <c r="STU129" s="3"/>
      <c r="STV129" s="3"/>
      <c r="STW129" s="3"/>
      <c r="STX129" s="3"/>
      <c r="STY129" s="3"/>
      <c r="STZ129" s="3"/>
      <c r="SUA129" s="3"/>
      <c r="SUB129" s="3"/>
      <c r="SUC129" s="3"/>
      <c r="SUD129" s="3"/>
      <c r="SUE129" s="3"/>
      <c r="SUF129" s="3"/>
      <c r="SUG129" s="3"/>
      <c r="SUH129" s="3"/>
      <c r="SUI129" s="3"/>
      <c r="SUJ129" s="3"/>
      <c r="SUK129" s="3"/>
      <c r="SUL129" s="3"/>
      <c r="SUM129" s="3"/>
      <c r="SUN129" s="3"/>
      <c r="SUO129" s="3"/>
      <c r="SUP129" s="3"/>
      <c r="SUQ129" s="3"/>
      <c r="SUR129" s="3"/>
      <c r="SUS129" s="3"/>
      <c r="SUT129" s="3"/>
      <c r="SUU129" s="3"/>
      <c r="SUV129" s="3"/>
      <c r="SUW129" s="3"/>
      <c r="SUX129" s="3"/>
      <c r="SUY129" s="3"/>
      <c r="SUZ129" s="3"/>
      <c r="SVA129" s="3"/>
      <c r="SVB129" s="3"/>
      <c r="SVC129" s="3"/>
      <c r="SVD129" s="3"/>
      <c r="SVE129" s="3"/>
      <c r="SVF129" s="3"/>
      <c r="SVG129" s="3"/>
      <c r="SVH129" s="3"/>
      <c r="SVI129" s="3"/>
      <c r="SVJ129" s="3"/>
      <c r="SVK129" s="3"/>
      <c r="SVL129" s="3"/>
      <c r="SVM129" s="3"/>
      <c r="SVN129" s="3"/>
      <c r="SVO129" s="3"/>
      <c r="SVP129" s="3"/>
      <c r="SVQ129" s="3"/>
      <c r="SVR129" s="3"/>
      <c r="SVS129" s="3"/>
      <c r="SVT129" s="3"/>
      <c r="SVU129" s="3"/>
      <c r="SVV129" s="3"/>
      <c r="SVW129" s="3"/>
      <c r="SVX129" s="3"/>
      <c r="SVY129" s="3"/>
      <c r="SVZ129" s="3"/>
      <c r="SWA129" s="3"/>
      <c r="SWB129" s="3"/>
      <c r="SWC129" s="3"/>
      <c r="SWD129" s="3"/>
      <c r="SWE129" s="3"/>
      <c r="SWF129" s="3"/>
      <c r="SWG129" s="3"/>
      <c r="SWH129" s="3"/>
      <c r="SWI129" s="3"/>
      <c r="SWJ129" s="3"/>
      <c r="SWK129" s="3"/>
      <c r="SWL129" s="3"/>
      <c r="SWM129" s="3"/>
      <c r="SWN129" s="3"/>
      <c r="SWO129" s="3"/>
      <c r="SWP129" s="3"/>
      <c r="SWQ129" s="3"/>
      <c r="SWR129" s="3"/>
      <c r="SWS129" s="3"/>
      <c r="SWT129" s="3"/>
      <c r="SWU129" s="3"/>
      <c r="SWV129" s="3"/>
      <c r="SWW129" s="3"/>
      <c r="SWX129" s="3"/>
      <c r="SWY129" s="3"/>
      <c r="SWZ129" s="3"/>
      <c r="SXA129" s="3"/>
      <c r="SXB129" s="3"/>
      <c r="SXC129" s="3"/>
      <c r="SXD129" s="3"/>
      <c r="SXE129" s="3"/>
      <c r="SXF129" s="3"/>
      <c r="SXG129" s="3"/>
      <c r="SXH129" s="3"/>
      <c r="SXI129" s="3"/>
      <c r="SXJ129" s="3"/>
      <c r="SXK129" s="3"/>
      <c r="SXL129" s="3"/>
      <c r="SXM129" s="3"/>
      <c r="SXN129" s="3"/>
      <c r="SXO129" s="3"/>
      <c r="SXP129" s="3"/>
      <c r="SXQ129" s="3"/>
      <c r="SXR129" s="3"/>
      <c r="SXS129" s="3"/>
      <c r="SXT129" s="3"/>
      <c r="SXU129" s="3"/>
      <c r="SXV129" s="3"/>
      <c r="SXW129" s="3"/>
      <c r="SXX129" s="3"/>
      <c r="SXY129" s="3"/>
      <c r="SXZ129" s="3"/>
      <c r="SYA129" s="3"/>
      <c r="SYB129" s="3"/>
      <c r="SYC129" s="3"/>
      <c r="SYD129" s="3"/>
      <c r="SYE129" s="3"/>
      <c r="SYF129" s="3"/>
      <c r="SYG129" s="3"/>
      <c r="SYH129" s="3"/>
      <c r="SYI129" s="3"/>
      <c r="SYJ129" s="3"/>
      <c r="SYK129" s="3"/>
      <c r="SYL129" s="3"/>
      <c r="SYM129" s="3"/>
      <c r="SYN129" s="3"/>
      <c r="SYO129" s="3"/>
      <c r="SYP129" s="3"/>
      <c r="SYQ129" s="3"/>
      <c r="SYR129" s="3"/>
      <c r="SYS129" s="3"/>
      <c r="SYT129" s="3"/>
      <c r="SYU129" s="3"/>
      <c r="SYV129" s="3"/>
      <c r="SYW129" s="3"/>
      <c r="SYX129" s="3"/>
      <c r="SYY129" s="3"/>
      <c r="SYZ129" s="3"/>
      <c r="SZA129" s="3"/>
      <c r="SZB129" s="3"/>
      <c r="SZC129" s="3"/>
      <c r="SZD129" s="3"/>
      <c r="SZE129" s="3"/>
      <c r="SZF129" s="3"/>
      <c r="SZG129" s="3"/>
      <c r="SZH129" s="3"/>
      <c r="SZI129" s="3"/>
      <c r="SZJ129" s="3"/>
      <c r="SZK129" s="3"/>
      <c r="SZL129" s="3"/>
      <c r="SZM129" s="3"/>
      <c r="SZN129" s="3"/>
      <c r="SZO129" s="3"/>
      <c r="SZP129" s="3"/>
      <c r="SZQ129" s="3"/>
      <c r="SZR129" s="3"/>
      <c r="SZS129" s="3"/>
      <c r="SZT129" s="3"/>
      <c r="SZU129" s="3"/>
      <c r="SZV129" s="3"/>
      <c r="SZW129" s="3"/>
      <c r="SZX129" s="3"/>
      <c r="SZY129" s="3"/>
      <c r="SZZ129" s="3"/>
      <c r="TAA129" s="3"/>
      <c r="TAB129" s="3"/>
      <c r="TAC129" s="3"/>
      <c r="TAD129" s="3"/>
      <c r="TAE129" s="3"/>
      <c r="TAF129" s="3"/>
      <c r="TAG129" s="3"/>
      <c r="TAH129" s="3"/>
      <c r="TAI129" s="3"/>
      <c r="TAJ129" s="3"/>
      <c r="TAK129" s="3"/>
      <c r="TAL129" s="3"/>
      <c r="TAM129" s="3"/>
      <c r="TAN129" s="3"/>
      <c r="TAO129" s="3"/>
      <c r="TAP129" s="3"/>
      <c r="TAQ129" s="3"/>
      <c r="TAR129" s="3"/>
      <c r="TAS129" s="3"/>
      <c r="TAT129" s="3"/>
      <c r="TAU129" s="3"/>
      <c r="TAV129" s="3"/>
      <c r="TAW129" s="3"/>
      <c r="TAX129" s="3"/>
      <c r="TAY129" s="3"/>
      <c r="TAZ129" s="3"/>
      <c r="TBA129" s="3"/>
      <c r="TBB129" s="3"/>
      <c r="TBC129" s="3"/>
      <c r="TBD129" s="3"/>
      <c r="TBE129" s="3"/>
      <c r="TBF129" s="3"/>
      <c r="TBG129" s="3"/>
      <c r="TBH129" s="3"/>
      <c r="TBI129" s="3"/>
      <c r="TBJ129" s="3"/>
      <c r="TBK129" s="3"/>
      <c r="TBL129" s="3"/>
      <c r="TBM129" s="3"/>
      <c r="TBN129" s="3"/>
      <c r="TBO129" s="3"/>
      <c r="TBP129" s="3"/>
      <c r="TBQ129" s="3"/>
      <c r="TBR129" s="3"/>
      <c r="TBS129" s="3"/>
      <c r="TBT129" s="3"/>
      <c r="TBU129" s="3"/>
      <c r="TBV129" s="3"/>
      <c r="TBW129" s="3"/>
      <c r="TBX129" s="3"/>
      <c r="TBY129" s="3"/>
      <c r="TBZ129" s="3"/>
      <c r="TCA129" s="3"/>
      <c r="TCB129" s="3"/>
      <c r="TCC129" s="3"/>
      <c r="TCD129" s="3"/>
      <c r="TCE129" s="3"/>
      <c r="TCF129" s="3"/>
      <c r="TCG129" s="3"/>
      <c r="TCH129" s="3"/>
      <c r="TCI129" s="3"/>
      <c r="TCJ129" s="3"/>
      <c r="TCK129" s="3"/>
      <c r="TCL129" s="3"/>
      <c r="TCM129" s="3"/>
      <c r="TCN129" s="3"/>
      <c r="TCO129" s="3"/>
      <c r="TCP129" s="3"/>
      <c r="TCQ129" s="3"/>
      <c r="TCR129" s="3"/>
      <c r="TCS129" s="3"/>
      <c r="TCT129" s="3"/>
      <c r="TCU129" s="3"/>
      <c r="TCV129" s="3"/>
      <c r="TCW129" s="3"/>
      <c r="TCX129" s="3"/>
      <c r="TCY129" s="3"/>
      <c r="TCZ129" s="3"/>
      <c r="TDA129" s="3"/>
      <c r="TDB129" s="3"/>
      <c r="TDC129" s="3"/>
      <c r="TDD129" s="3"/>
      <c r="TDE129" s="3"/>
      <c r="TDF129" s="3"/>
      <c r="TDG129" s="3"/>
      <c r="TDH129" s="3"/>
      <c r="TDI129" s="3"/>
      <c r="TDJ129" s="3"/>
      <c r="TDK129" s="3"/>
      <c r="TDL129" s="3"/>
      <c r="TDM129" s="3"/>
      <c r="TDN129" s="3"/>
      <c r="TDO129" s="3"/>
      <c r="TDP129" s="3"/>
      <c r="TDQ129" s="3"/>
      <c r="TDR129" s="3"/>
      <c r="TDS129" s="3"/>
      <c r="TDT129" s="3"/>
      <c r="TDU129" s="3"/>
      <c r="TDV129" s="3"/>
      <c r="TDW129" s="3"/>
      <c r="TDX129" s="3"/>
      <c r="TDY129" s="3"/>
      <c r="TDZ129" s="3"/>
      <c r="TEA129" s="3"/>
      <c r="TEB129" s="3"/>
      <c r="TEC129" s="3"/>
      <c r="TED129" s="3"/>
      <c r="TEE129" s="3"/>
      <c r="TEF129" s="3"/>
      <c r="TEG129" s="3"/>
      <c r="TEH129" s="3"/>
      <c r="TEI129" s="3"/>
      <c r="TEJ129" s="3"/>
      <c r="TEK129" s="3"/>
      <c r="TEL129" s="3"/>
      <c r="TEM129" s="3"/>
      <c r="TEN129" s="3"/>
      <c r="TEO129" s="3"/>
      <c r="TEP129" s="3"/>
      <c r="TEQ129" s="3"/>
      <c r="TER129" s="3"/>
      <c r="TES129" s="3"/>
      <c r="TET129" s="3"/>
      <c r="TEU129" s="3"/>
      <c r="TEV129" s="3"/>
      <c r="TEW129" s="3"/>
      <c r="TEX129" s="3"/>
      <c r="TEY129" s="3"/>
      <c r="TEZ129" s="3"/>
      <c r="TFA129" s="3"/>
      <c r="TFB129" s="3"/>
      <c r="TFC129" s="3"/>
      <c r="TFD129" s="3"/>
      <c r="TFE129" s="3"/>
      <c r="TFF129" s="3"/>
      <c r="TFG129" s="3"/>
      <c r="TFH129" s="3"/>
      <c r="TFI129" s="3"/>
      <c r="TFJ129" s="3"/>
      <c r="TFK129" s="3"/>
      <c r="TFL129" s="3"/>
      <c r="TFM129" s="3"/>
      <c r="TFN129" s="3"/>
      <c r="TFO129" s="3"/>
      <c r="TFP129" s="3"/>
      <c r="TFQ129" s="3"/>
      <c r="TFR129" s="3"/>
      <c r="TFS129" s="3"/>
      <c r="TFT129" s="3"/>
      <c r="TFU129" s="3"/>
      <c r="TFV129" s="3"/>
      <c r="TFW129" s="3"/>
      <c r="TFX129" s="3"/>
      <c r="TFY129" s="3"/>
      <c r="TFZ129" s="3"/>
      <c r="TGA129" s="3"/>
      <c r="TGB129" s="3"/>
      <c r="TGC129" s="3"/>
      <c r="TGD129" s="3"/>
      <c r="TGE129" s="3"/>
      <c r="TGF129" s="3"/>
      <c r="TGG129" s="3"/>
      <c r="TGH129" s="3"/>
      <c r="TGI129" s="3"/>
      <c r="TGJ129" s="3"/>
      <c r="TGK129" s="3"/>
      <c r="TGL129" s="3"/>
      <c r="TGM129" s="3"/>
      <c r="TGN129" s="3"/>
      <c r="TGO129" s="3"/>
      <c r="TGP129" s="3"/>
      <c r="TGQ129" s="3"/>
      <c r="TGR129" s="3"/>
      <c r="TGS129" s="3"/>
      <c r="TGT129" s="3"/>
      <c r="TGU129" s="3"/>
      <c r="TGV129" s="3"/>
      <c r="TGW129" s="3"/>
      <c r="TGX129" s="3"/>
      <c r="TGY129" s="3"/>
      <c r="TGZ129" s="3"/>
      <c r="THA129" s="3"/>
      <c r="THB129" s="3"/>
      <c r="THC129" s="3"/>
      <c r="THD129" s="3"/>
      <c r="THE129" s="3"/>
      <c r="THF129" s="3"/>
      <c r="THG129" s="3"/>
      <c r="THH129" s="3"/>
      <c r="THI129" s="3"/>
      <c r="THJ129" s="3"/>
      <c r="THK129" s="3"/>
      <c r="THL129" s="3"/>
      <c r="THM129" s="3"/>
      <c r="THN129" s="3"/>
      <c r="THO129" s="3"/>
      <c r="THP129" s="3"/>
      <c r="THQ129" s="3"/>
      <c r="THR129" s="3"/>
      <c r="THS129" s="3"/>
      <c r="THT129" s="3"/>
      <c r="THU129" s="3"/>
      <c r="THV129" s="3"/>
      <c r="THW129" s="3"/>
      <c r="THX129" s="3"/>
      <c r="THY129" s="3"/>
      <c r="THZ129" s="3"/>
      <c r="TIA129" s="3"/>
      <c r="TIB129" s="3"/>
      <c r="TIC129" s="3"/>
      <c r="TID129" s="3"/>
      <c r="TIE129" s="3"/>
      <c r="TIF129" s="3"/>
      <c r="TIG129" s="3"/>
      <c r="TIH129" s="3"/>
      <c r="TII129" s="3"/>
      <c r="TIJ129" s="3"/>
      <c r="TIK129" s="3"/>
      <c r="TIL129" s="3"/>
      <c r="TIM129" s="3"/>
      <c r="TIN129" s="3"/>
      <c r="TIO129" s="3"/>
      <c r="TIP129" s="3"/>
      <c r="TIQ129" s="3"/>
      <c r="TIR129" s="3"/>
      <c r="TIS129" s="3"/>
      <c r="TIT129" s="3"/>
      <c r="TIU129" s="3"/>
      <c r="TIV129" s="3"/>
      <c r="TIW129" s="3"/>
      <c r="TIX129" s="3"/>
      <c r="TIY129" s="3"/>
      <c r="TIZ129" s="3"/>
      <c r="TJA129" s="3"/>
      <c r="TJB129" s="3"/>
      <c r="TJC129" s="3"/>
      <c r="TJD129" s="3"/>
      <c r="TJE129" s="3"/>
      <c r="TJF129" s="3"/>
      <c r="TJG129" s="3"/>
      <c r="TJH129" s="3"/>
      <c r="TJI129" s="3"/>
      <c r="TJJ129" s="3"/>
      <c r="TJK129" s="3"/>
      <c r="TJL129" s="3"/>
      <c r="TJM129" s="3"/>
      <c r="TJN129" s="3"/>
      <c r="TJO129" s="3"/>
      <c r="TJP129" s="3"/>
      <c r="TJQ129" s="3"/>
      <c r="TJR129" s="3"/>
      <c r="TJS129" s="3"/>
      <c r="TJT129" s="3"/>
      <c r="TJU129" s="3"/>
      <c r="TJV129" s="3"/>
      <c r="TJW129" s="3"/>
      <c r="TJX129" s="3"/>
      <c r="TJY129" s="3"/>
      <c r="TJZ129" s="3"/>
      <c r="TKA129" s="3"/>
      <c r="TKB129" s="3"/>
      <c r="TKC129" s="3"/>
      <c r="TKD129" s="3"/>
      <c r="TKE129" s="3"/>
      <c r="TKF129" s="3"/>
      <c r="TKG129" s="3"/>
      <c r="TKH129" s="3"/>
      <c r="TKI129" s="3"/>
      <c r="TKJ129" s="3"/>
      <c r="TKK129" s="3"/>
      <c r="TKL129" s="3"/>
      <c r="TKM129" s="3"/>
      <c r="TKN129" s="3"/>
      <c r="TKO129" s="3"/>
      <c r="TKP129" s="3"/>
      <c r="TKQ129" s="3"/>
      <c r="TKR129" s="3"/>
      <c r="TKS129" s="3"/>
      <c r="TKT129" s="3"/>
      <c r="TKU129" s="3"/>
      <c r="TKV129" s="3"/>
      <c r="TKW129" s="3"/>
      <c r="TKX129" s="3"/>
      <c r="TKY129" s="3"/>
      <c r="TKZ129" s="3"/>
      <c r="TLA129" s="3"/>
      <c r="TLB129" s="3"/>
      <c r="TLC129" s="3"/>
      <c r="TLD129" s="3"/>
      <c r="TLE129" s="3"/>
      <c r="TLF129" s="3"/>
      <c r="TLG129" s="3"/>
      <c r="TLH129" s="3"/>
      <c r="TLI129" s="3"/>
      <c r="TLJ129" s="3"/>
      <c r="TLK129" s="3"/>
      <c r="TLL129" s="3"/>
      <c r="TLM129" s="3"/>
      <c r="TLN129" s="3"/>
      <c r="TLO129" s="3"/>
      <c r="TLP129" s="3"/>
      <c r="TLQ129" s="3"/>
      <c r="TLR129" s="3"/>
      <c r="TLS129" s="3"/>
      <c r="TLT129" s="3"/>
      <c r="TLU129" s="3"/>
      <c r="TLV129" s="3"/>
      <c r="TLW129" s="3"/>
      <c r="TLX129" s="3"/>
      <c r="TLY129" s="3"/>
      <c r="TLZ129" s="3"/>
      <c r="TMA129" s="3"/>
      <c r="TMB129" s="3"/>
      <c r="TMC129" s="3"/>
      <c r="TMD129" s="3"/>
      <c r="TME129" s="3"/>
      <c r="TMF129" s="3"/>
      <c r="TMG129" s="3"/>
      <c r="TMH129" s="3"/>
      <c r="TMI129" s="3"/>
      <c r="TMJ129" s="3"/>
      <c r="TMK129" s="3"/>
      <c r="TML129" s="3"/>
      <c r="TMM129" s="3"/>
      <c r="TMN129" s="3"/>
      <c r="TMO129" s="3"/>
      <c r="TMP129" s="3"/>
      <c r="TMQ129" s="3"/>
      <c r="TMR129" s="3"/>
      <c r="TMS129" s="3"/>
      <c r="TMT129" s="3"/>
      <c r="TMU129" s="3"/>
      <c r="TMV129" s="3"/>
      <c r="TMW129" s="3"/>
      <c r="TMX129" s="3"/>
      <c r="TMY129" s="3"/>
      <c r="TMZ129" s="3"/>
      <c r="TNA129" s="3"/>
      <c r="TNB129" s="3"/>
      <c r="TNC129" s="3"/>
      <c r="TND129" s="3"/>
      <c r="TNE129" s="3"/>
      <c r="TNF129" s="3"/>
      <c r="TNG129" s="3"/>
      <c r="TNH129" s="3"/>
      <c r="TNI129" s="3"/>
      <c r="TNJ129" s="3"/>
      <c r="TNK129" s="3"/>
      <c r="TNL129" s="3"/>
      <c r="TNM129" s="3"/>
      <c r="TNN129" s="3"/>
      <c r="TNO129" s="3"/>
      <c r="TNP129" s="3"/>
      <c r="TNQ129" s="3"/>
      <c r="TNR129" s="3"/>
      <c r="TNS129" s="3"/>
      <c r="TNT129" s="3"/>
      <c r="TNU129" s="3"/>
      <c r="TNV129" s="3"/>
      <c r="TNW129" s="3"/>
      <c r="TNX129" s="3"/>
      <c r="TNY129" s="3"/>
      <c r="TNZ129" s="3"/>
      <c r="TOA129" s="3"/>
      <c r="TOB129" s="3"/>
      <c r="TOC129" s="3"/>
      <c r="TOD129" s="3"/>
      <c r="TOE129" s="3"/>
      <c r="TOF129" s="3"/>
      <c r="TOG129" s="3"/>
      <c r="TOH129" s="3"/>
      <c r="TOI129" s="3"/>
      <c r="TOJ129" s="3"/>
      <c r="TOK129" s="3"/>
      <c r="TOL129" s="3"/>
      <c r="TOM129" s="3"/>
      <c r="TON129" s="3"/>
      <c r="TOO129" s="3"/>
      <c r="TOP129" s="3"/>
      <c r="TOQ129" s="3"/>
      <c r="TOR129" s="3"/>
      <c r="TOS129" s="3"/>
      <c r="TOT129" s="3"/>
      <c r="TOU129" s="3"/>
      <c r="TOV129" s="3"/>
      <c r="TOW129" s="3"/>
      <c r="TOX129" s="3"/>
      <c r="TOY129" s="3"/>
      <c r="TOZ129" s="3"/>
      <c r="TPA129" s="3"/>
      <c r="TPB129" s="3"/>
      <c r="TPC129" s="3"/>
      <c r="TPD129" s="3"/>
      <c r="TPE129" s="3"/>
      <c r="TPF129" s="3"/>
      <c r="TPG129" s="3"/>
      <c r="TPH129" s="3"/>
      <c r="TPI129" s="3"/>
      <c r="TPJ129" s="3"/>
      <c r="TPK129" s="3"/>
      <c r="TPL129" s="3"/>
      <c r="TPM129" s="3"/>
      <c r="TPN129" s="3"/>
      <c r="TPO129" s="3"/>
      <c r="TPP129" s="3"/>
      <c r="TPQ129" s="3"/>
      <c r="TPR129" s="3"/>
      <c r="TPS129" s="3"/>
      <c r="TPT129" s="3"/>
      <c r="TPU129" s="3"/>
      <c r="TPV129" s="3"/>
      <c r="TPW129" s="3"/>
      <c r="TPX129" s="3"/>
      <c r="TPY129" s="3"/>
      <c r="TPZ129" s="3"/>
      <c r="TQA129" s="3"/>
      <c r="TQB129" s="3"/>
      <c r="TQC129" s="3"/>
      <c r="TQD129" s="3"/>
      <c r="TQE129" s="3"/>
      <c r="TQF129" s="3"/>
      <c r="TQG129" s="3"/>
      <c r="TQH129" s="3"/>
      <c r="TQI129" s="3"/>
      <c r="TQJ129" s="3"/>
      <c r="TQK129" s="3"/>
      <c r="TQL129" s="3"/>
      <c r="TQM129" s="3"/>
      <c r="TQN129" s="3"/>
      <c r="TQO129" s="3"/>
      <c r="TQP129" s="3"/>
      <c r="TQQ129" s="3"/>
      <c r="TQR129" s="3"/>
      <c r="TQS129" s="3"/>
      <c r="TQT129" s="3"/>
      <c r="TQU129" s="3"/>
      <c r="TQV129" s="3"/>
      <c r="TQW129" s="3"/>
      <c r="TQX129" s="3"/>
      <c r="TQY129" s="3"/>
      <c r="TQZ129" s="3"/>
      <c r="TRA129" s="3"/>
      <c r="TRB129" s="3"/>
      <c r="TRC129" s="3"/>
      <c r="TRD129" s="3"/>
      <c r="TRE129" s="3"/>
      <c r="TRF129" s="3"/>
      <c r="TRG129" s="3"/>
      <c r="TRH129" s="3"/>
      <c r="TRI129" s="3"/>
      <c r="TRJ129" s="3"/>
      <c r="TRK129" s="3"/>
      <c r="TRL129" s="3"/>
      <c r="TRM129" s="3"/>
      <c r="TRN129" s="3"/>
      <c r="TRO129" s="3"/>
      <c r="TRP129" s="3"/>
      <c r="TRQ129" s="3"/>
      <c r="TRR129" s="3"/>
      <c r="TRS129" s="3"/>
      <c r="TRT129" s="3"/>
      <c r="TRU129" s="3"/>
      <c r="TRV129" s="3"/>
      <c r="TRW129" s="3"/>
      <c r="TRX129" s="3"/>
      <c r="TRY129" s="3"/>
      <c r="TRZ129" s="3"/>
      <c r="TSA129" s="3"/>
      <c r="TSB129" s="3"/>
      <c r="TSC129" s="3"/>
      <c r="TSD129" s="3"/>
      <c r="TSE129" s="3"/>
      <c r="TSF129" s="3"/>
      <c r="TSG129" s="3"/>
      <c r="TSH129" s="3"/>
      <c r="TSI129" s="3"/>
      <c r="TSJ129" s="3"/>
      <c r="TSK129" s="3"/>
      <c r="TSL129" s="3"/>
      <c r="TSM129" s="3"/>
      <c r="TSN129" s="3"/>
      <c r="TSO129" s="3"/>
      <c r="TSP129" s="3"/>
      <c r="TSQ129" s="3"/>
      <c r="TSR129" s="3"/>
      <c r="TSS129" s="3"/>
      <c r="TST129" s="3"/>
      <c r="TSU129" s="3"/>
      <c r="TSV129" s="3"/>
      <c r="TSW129" s="3"/>
      <c r="TSX129" s="3"/>
      <c r="TSY129" s="3"/>
      <c r="TSZ129" s="3"/>
      <c r="TTA129" s="3"/>
      <c r="TTB129" s="3"/>
      <c r="TTC129" s="3"/>
      <c r="TTD129" s="3"/>
      <c r="TTE129" s="3"/>
      <c r="TTF129" s="3"/>
      <c r="TTG129" s="3"/>
      <c r="TTH129" s="3"/>
      <c r="TTI129" s="3"/>
      <c r="TTJ129" s="3"/>
      <c r="TTK129" s="3"/>
      <c r="TTL129" s="3"/>
      <c r="TTM129" s="3"/>
      <c r="TTN129" s="3"/>
      <c r="TTO129" s="3"/>
      <c r="TTP129" s="3"/>
      <c r="TTQ129" s="3"/>
      <c r="TTR129" s="3"/>
      <c r="TTS129" s="3"/>
      <c r="TTT129" s="3"/>
      <c r="TTU129" s="3"/>
      <c r="TTV129" s="3"/>
      <c r="TTW129" s="3"/>
      <c r="TTX129" s="3"/>
      <c r="TTY129" s="3"/>
      <c r="TTZ129" s="3"/>
      <c r="TUA129" s="3"/>
      <c r="TUB129" s="3"/>
      <c r="TUC129" s="3"/>
      <c r="TUD129" s="3"/>
      <c r="TUE129" s="3"/>
      <c r="TUF129" s="3"/>
      <c r="TUG129" s="3"/>
      <c r="TUH129" s="3"/>
      <c r="TUI129" s="3"/>
      <c r="TUJ129" s="3"/>
      <c r="TUK129" s="3"/>
      <c r="TUL129" s="3"/>
      <c r="TUM129" s="3"/>
      <c r="TUN129" s="3"/>
      <c r="TUO129" s="3"/>
      <c r="TUP129" s="3"/>
      <c r="TUQ129" s="3"/>
      <c r="TUR129" s="3"/>
      <c r="TUS129" s="3"/>
      <c r="TUT129" s="3"/>
      <c r="TUU129" s="3"/>
      <c r="TUV129" s="3"/>
      <c r="TUW129" s="3"/>
      <c r="TUX129" s="3"/>
      <c r="TUY129" s="3"/>
      <c r="TUZ129" s="3"/>
      <c r="TVA129" s="3"/>
      <c r="TVB129" s="3"/>
      <c r="TVC129" s="3"/>
      <c r="TVD129" s="3"/>
      <c r="TVE129" s="3"/>
      <c r="TVF129" s="3"/>
      <c r="TVG129" s="3"/>
      <c r="TVH129" s="3"/>
      <c r="TVI129" s="3"/>
      <c r="TVJ129" s="3"/>
      <c r="TVK129" s="3"/>
      <c r="TVL129" s="3"/>
      <c r="TVM129" s="3"/>
      <c r="TVN129" s="3"/>
      <c r="TVO129" s="3"/>
      <c r="TVP129" s="3"/>
      <c r="TVQ129" s="3"/>
      <c r="TVR129" s="3"/>
      <c r="TVS129" s="3"/>
      <c r="TVT129" s="3"/>
      <c r="TVU129" s="3"/>
      <c r="TVV129" s="3"/>
      <c r="TVW129" s="3"/>
      <c r="TVX129" s="3"/>
      <c r="TVY129" s="3"/>
      <c r="TVZ129" s="3"/>
      <c r="TWA129" s="3"/>
      <c r="TWB129" s="3"/>
      <c r="TWC129" s="3"/>
      <c r="TWD129" s="3"/>
      <c r="TWE129" s="3"/>
      <c r="TWF129" s="3"/>
      <c r="TWG129" s="3"/>
      <c r="TWH129" s="3"/>
      <c r="TWI129" s="3"/>
      <c r="TWJ129" s="3"/>
      <c r="TWK129" s="3"/>
      <c r="TWL129" s="3"/>
      <c r="TWM129" s="3"/>
      <c r="TWN129" s="3"/>
      <c r="TWO129" s="3"/>
      <c r="TWP129" s="3"/>
      <c r="TWQ129" s="3"/>
      <c r="TWR129" s="3"/>
      <c r="TWS129" s="3"/>
      <c r="TWT129" s="3"/>
      <c r="TWU129" s="3"/>
      <c r="TWV129" s="3"/>
      <c r="TWW129" s="3"/>
      <c r="TWX129" s="3"/>
      <c r="TWY129" s="3"/>
      <c r="TWZ129" s="3"/>
      <c r="TXA129" s="3"/>
      <c r="TXB129" s="3"/>
      <c r="TXC129" s="3"/>
      <c r="TXD129" s="3"/>
      <c r="TXE129" s="3"/>
      <c r="TXF129" s="3"/>
      <c r="TXG129" s="3"/>
      <c r="TXH129" s="3"/>
      <c r="TXI129" s="3"/>
      <c r="TXJ129" s="3"/>
      <c r="TXK129" s="3"/>
      <c r="TXL129" s="3"/>
      <c r="TXM129" s="3"/>
      <c r="TXN129" s="3"/>
      <c r="TXO129" s="3"/>
      <c r="TXP129" s="3"/>
      <c r="TXQ129" s="3"/>
      <c r="TXR129" s="3"/>
      <c r="TXS129" s="3"/>
      <c r="TXT129" s="3"/>
      <c r="TXU129" s="3"/>
      <c r="TXV129" s="3"/>
      <c r="TXW129" s="3"/>
      <c r="TXX129" s="3"/>
      <c r="TXY129" s="3"/>
      <c r="TXZ129" s="3"/>
      <c r="TYA129" s="3"/>
      <c r="TYB129" s="3"/>
      <c r="TYC129" s="3"/>
      <c r="TYD129" s="3"/>
      <c r="TYE129" s="3"/>
      <c r="TYF129" s="3"/>
      <c r="TYG129" s="3"/>
      <c r="TYH129" s="3"/>
      <c r="TYI129" s="3"/>
      <c r="TYJ129" s="3"/>
      <c r="TYK129" s="3"/>
      <c r="TYL129" s="3"/>
      <c r="TYM129" s="3"/>
      <c r="TYN129" s="3"/>
      <c r="TYO129" s="3"/>
      <c r="TYP129" s="3"/>
      <c r="TYQ129" s="3"/>
      <c r="TYR129" s="3"/>
      <c r="TYS129" s="3"/>
      <c r="TYT129" s="3"/>
      <c r="TYU129" s="3"/>
      <c r="TYV129" s="3"/>
      <c r="TYW129" s="3"/>
      <c r="TYX129" s="3"/>
      <c r="TYY129" s="3"/>
      <c r="TYZ129" s="3"/>
      <c r="TZA129" s="3"/>
      <c r="TZB129" s="3"/>
      <c r="TZC129" s="3"/>
      <c r="TZD129" s="3"/>
      <c r="TZE129" s="3"/>
      <c r="TZF129" s="3"/>
      <c r="TZG129" s="3"/>
      <c r="TZH129" s="3"/>
      <c r="TZI129" s="3"/>
      <c r="TZJ129" s="3"/>
      <c r="TZK129" s="3"/>
      <c r="TZL129" s="3"/>
      <c r="TZM129" s="3"/>
      <c r="TZN129" s="3"/>
      <c r="TZO129" s="3"/>
      <c r="TZP129" s="3"/>
      <c r="TZQ129" s="3"/>
      <c r="TZR129" s="3"/>
      <c r="TZS129" s="3"/>
      <c r="TZT129" s="3"/>
      <c r="TZU129" s="3"/>
      <c r="TZV129" s="3"/>
      <c r="TZW129" s="3"/>
      <c r="TZX129" s="3"/>
      <c r="TZY129" s="3"/>
      <c r="TZZ129" s="3"/>
      <c r="UAA129" s="3"/>
      <c r="UAB129" s="3"/>
      <c r="UAC129" s="3"/>
      <c r="UAD129" s="3"/>
      <c r="UAE129" s="3"/>
      <c r="UAF129" s="3"/>
      <c r="UAG129" s="3"/>
      <c r="UAH129" s="3"/>
      <c r="UAI129" s="3"/>
      <c r="UAJ129" s="3"/>
      <c r="UAK129" s="3"/>
      <c r="UAL129" s="3"/>
      <c r="UAM129" s="3"/>
      <c r="UAN129" s="3"/>
      <c r="UAO129" s="3"/>
      <c r="UAP129" s="3"/>
      <c r="UAQ129" s="3"/>
      <c r="UAR129" s="3"/>
      <c r="UAS129" s="3"/>
      <c r="UAT129" s="3"/>
      <c r="UAU129" s="3"/>
      <c r="UAV129" s="3"/>
      <c r="UAW129" s="3"/>
      <c r="UAX129" s="3"/>
      <c r="UAY129" s="3"/>
      <c r="UAZ129" s="3"/>
      <c r="UBA129" s="3"/>
      <c r="UBB129" s="3"/>
      <c r="UBC129" s="3"/>
      <c r="UBD129" s="3"/>
      <c r="UBE129" s="3"/>
      <c r="UBF129" s="3"/>
      <c r="UBG129" s="3"/>
      <c r="UBH129" s="3"/>
      <c r="UBI129" s="3"/>
      <c r="UBJ129" s="3"/>
      <c r="UBK129" s="3"/>
      <c r="UBL129" s="3"/>
      <c r="UBM129" s="3"/>
      <c r="UBN129" s="3"/>
      <c r="UBO129" s="3"/>
      <c r="UBP129" s="3"/>
      <c r="UBQ129" s="3"/>
      <c r="UBR129" s="3"/>
      <c r="UBS129" s="3"/>
      <c r="UBT129" s="3"/>
      <c r="UBU129" s="3"/>
      <c r="UBV129" s="3"/>
      <c r="UBW129" s="3"/>
      <c r="UBX129" s="3"/>
      <c r="UBY129" s="3"/>
      <c r="UBZ129" s="3"/>
      <c r="UCA129" s="3"/>
      <c r="UCB129" s="3"/>
      <c r="UCC129" s="3"/>
      <c r="UCD129" s="3"/>
      <c r="UCE129" s="3"/>
      <c r="UCF129" s="3"/>
      <c r="UCG129" s="3"/>
      <c r="UCH129" s="3"/>
      <c r="UCI129" s="3"/>
      <c r="UCJ129" s="3"/>
      <c r="UCK129" s="3"/>
      <c r="UCL129" s="3"/>
      <c r="UCM129" s="3"/>
      <c r="UCN129" s="3"/>
      <c r="UCO129" s="3"/>
      <c r="UCP129" s="3"/>
      <c r="UCQ129" s="3"/>
      <c r="UCR129" s="3"/>
      <c r="UCS129" s="3"/>
      <c r="UCT129" s="3"/>
      <c r="UCU129" s="3"/>
      <c r="UCV129" s="3"/>
      <c r="UCW129" s="3"/>
      <c r="UCX129" s="3"/>
      <c r="UCY129" s="3"/>
      <c r="UCZ129" s="3"/>
      <c r="UDA129" s="3"/>
      <c r="UDB129" s="3"/>
      <c r="UDC129" s="3"/>
      <c r="UDD129" s="3"/>
      <c r="UDE129" s="3"/>
      <c r="UDF129" s="3"/>
      <c r="UDG129" s="3"/>
      <c r="UDH129" s="3"/>
      <c r="UDI129" s="3"/>
      <c r="UDJ129" s="3"/>
      <c r="UDK129" s="3"/>
      <c r="UDL129" s="3"/>
      <c r="UDM129" s="3"/>
      <c r="UDN129" s="3"/>
      <c r="UDO129" s="3"/>
      <c r="UDP129" s="3"/>
      <c r="UDQ129" s="3"/>
      <c r="UDR129" s="3"/>
      <c r="UDS129" s="3"/>
      <c r="UDT129" s="3"/>
      <c r="UDU129" s="3"/>
      <c r="UDV129" s="3"/>
      <c r="UDW129" s="3"/>
      <c r="UDX129" s="3"/>
      <c r="UDY129" s="3"/>
      <c r="UDZ129" s="3"/>
      <c r="UEA129" s="3"/>
      <c r="UEB129" s="3"/>
      <c r="UEC129" s="3"/>
      <c r="UED129" s="3"/>
      <c r="UEE129" s="3"/>
      <c r="UEF129" s="3"/>
      <c r="UEG129" s="3"/>
      <c r="UEH129" s="3"/>
      <c r="UEI129" s="3"/>
      <c r="UEJ129" s="3"/>
      <c r="UEK129" s="3"/>
      <c r="UEL129" s="3"/>
      <c r="UEM129" s="3"/>
      <c r="UEN129" s="3"/>
      <c r="UEO129" s="3"/>
      <c r="UEP129" s="3"/>
      <c r="UEQ129" s="3"/>
      <c r="UER129" s="3"/>
      <c r="UES129" s="3"/>
      <c r="UET129" s="3"/>
      <c r="UEU129" s="3"/>
      <c r="UEV129" s="3"/>
      <c r="UEW129" s="3"/>
      <c r="UEX129" s="3"/>
      <c r="UEY129" s="3"/>
      <c r="UEZ129" s="3"/>
      <c r="UFA129" s="3"/>
      <c r="UFB129" s="3"/>
      <c r="UFC129" s="3"/>
      <c r="UFD129" s="3"/>
      <c r="UFE129" s="3"/>
      <c r="UFF129" s="3"/>
      <c r="UFG129" s="3"/>
      <c r="UFH129" s="3"/>
      <c r="UFI129" s="3"/>
      <c r="UFJ129" s="3"/>
      <c r="UFK129" s="3"/>
      <c r="UFL129" s="3"/>
      <c r="UFM129" s="3"/>
      <c r="UFN129" s="3"/>
      <c r="UFO129" s="3"/>
      <c r="UFP129" s="3"/>
      <c r="UFQ129" s="3"/>
      <c r="UFR129" s="3"/>
      <c r="UFS129" s="3"/>
      <c r="UFT129" s="3"/>
      <c r="UFU129" s="3"/>
      <c r="UFV129" s="3"/>
      <c r="UFW129" s="3"/>
      <c r="UFX129" s="3"/>
      <c r="UFY129" s="3"/>
      <c r="UFZ129" s="3"/>
      <c r="UGA129" s="3"/>
      <c r="UGB129" s="3"/>
      <c r="UGC129" s="3"/>
      <c r="UGD129" s="3"/>
      <c r="UGE129" s="3"/>
      <c r="UGF129" s="3"/>
      <c r="UGG129" s="3"/>
      <c r="UGH129" s="3"/>
      <c r="UGI129" s="3"/>
      <c r="UGJ129" s="3"/>
      <c r="UGK129" s="3"/>
      <c r="UGL129" s="3"/>
      <c r="UGM129" s="3"/>
      <c r="UGN129" s="3"/>
      <c r="UGO129" s="3"/>
      <c r="UGP129" s="3"/>
      <c r="UGQ129" s="3"/>
      <c r="UGR129" s="3"/>
      <c r="UGS129" s="3"/>
      <c r="UGT129" s="3"/>
      <c r="UGU129" s="3"/>
      <c r="UGV129" s="3"/>
      <c r="UGW129" s="3"/>
      <c r="UGX129" s="3"/>
      <c r="UGY129" s="3"/>
      <c r="UGZ129" s="3"/>
      <c r="UHA129" s="3"/>
      <c r="UHB129" s="3"/>
      <c r="UHC129" s="3"/>
      <c r="UHD129" s="3"/>
      <c r="UHE129" s="3"/>
      <c r="UHF129" s="3"/>
      <c r="UHG129" s="3"/>
      <c r="UHH129" s="3"/>
      <c r="UHI129" s="3"/>
      <c r="UHJ129" s="3"/>
      <c r="UHK129" s="3"/>
      <c r="UHL129" s="3"/>
      <c r="UHM129" s="3"/>
      <c r="UHN129" s="3"/>
      <c r="UHO129" s="3"/>
      <c r="UHP129" s="3"/>
      <c r="UHQ129" s="3"/>
      <c r="UHR129" s="3"/>
      <c r="UHS129" s="3"/>
      <c r="UHT129" s="3"/>
      <c r="UHU129" s="3"/>
      <c r="UHV129" s="3"/>
      <c r="UHW129" s="3"/>
      <c r="UHX129" s="3"/>
      <c r="UHY129" s="3"/>
      <c r="UHZ129" s="3"/>
      <c r="UIA129" s="3"/>
      <c r="UIB129" s="3"/>
      <c r="UIC129" s="3"/>
      <c r="UID129" s="3"/>
      <c r="UIE129" s="3"/>
      <c r="UIF129" s="3"/>
      <c r="UIG129" s="3"/>
      <c r="UIH129" s="3"/>
      <c r="UII129" s="3"/>
      <c r="UIJ129" s="3"/>
      <c r="UIK129" s="3"/>
      <c r="UIL129" s="3"/>
      <c r="UIM129" s="3"/>
      <c r="UIN129" s="3"/>
      <c r="UIO129" s="3"/>
      <c r="UIP129" s="3"/>
      <c r="UIQ129" s="3"/>
      <c r="UIR129" s="3"/>
      <c r="UIS129" s="3"/>
      <c r="UIT129" s="3"/>
      <c r="UIU129" s="3"/>
      <c r="UIV129" s="3"/>
      <c r="UIW129" s="3"/>
      <c r="UIX129" s="3"/>
      <c r="UIY129" s="3"/>
      <c r="UIZ129" s="3"/>
      <c r="UJA129" s="3"/>
      <c r="UJB129" s="3"/>
      <c r="UJC129" s="3"/>
      <c r="UJD129" s="3"/>
      <c r="UJE129" s="3"/>
      <c r="UJF129" s="3"/>
      <c r="UJG129" s="3"/>
      <c r="UJH129" s="3"/>
      <c r="UJI129" s="3"/>
      <c r="UJJ129" s="3"/>
      <c r="UJK129" s="3"/>
      <c r="UJL129" s="3"/>
      <c r="UJM129" s="3"/>
      <c r="UJN129" s="3"/>
      <c r="UJO129" s="3"/>
      <c r="UJP129" s="3"/>
      <c r="UJQ129" s="3"/>
      <c r="UJR129" s="3"/>
      <c r="UJS129" s="3"/>
      <c r="UJT129" s="3"/>
      <c r="UJU129" s="3"/>
      <c r="UJV129" s="3"/>
      <c r="UJW129" s="3"/>
      <c r="UJX129" s="3"/>
      <c r="UJY129" s="3"/>
      <c r="UJZ129" s="3"/>
      <c r="UKA129" s="3"/>
      <c r="UKB129" s="3"/>
      <c r="UKC129" s="3"/>
      <c r="UKD129" s="3"/>
      <c r="UKE129" s="3"/>
      <c r="UKF129" s="3"/>
      <c r="UKG129" s="3"/>
      <c r="UKH129" s="3"/>
      <c r="UKI129" s="3"/>
      <c r="UKJ129" s="3"/>
      <c r="UKK129" s="3"/>
      <c r="UKL129" s="3"/>
      <c r="UKM129" s="3"/>
      <c r="UKN129" s="3"/>
      <c r="UKO129" s="3"/>
      <c r="UKP129" s="3"/>
      <c r="UKQ129" s="3"/>
      <c r="UKR129" s="3"/>
      <c r="UKS129" s="3"/>
      <c r="UKT129" s="3"/>
      <c r="UKU129" s="3"/>
      <c r="UKV129" s="3"/>
      <c r="UKW129" s="3"/>
      <c r="UKX129" s="3"/>
      <c r="UKY129" s="3"/>
      <c r="UKZ129" s="3"/>
      <c r="ULA129" s="3"/>
      <c r="ULB129" s="3"/>
      <c r="ULC129" s="3"/>
      <c r="ULD129" s="3"/>
      <c r="ULE129" s="3"/>
      <c r="ULF129" s="3"/>
      <c r="ULG129" s="3"/>
      <c r="ULH129" s="3"/>
      <c r="ULI129" s="3"/>
      <c r="ULJ129" s="3"/>
      <c r="ULK129" s="3"/>
      <c r="ULL129" s="3"/>
      <c r="ULM129" s="3"/>
      <c r="ULN129" s="3"/>
      <c r="ULO129" s="3"/>
      <c r="ULP129" s="3"/>
      <c r="ULQ129" s="3"/>
      <c r="ULR129" s="3"/>
      <c r="ULS129" s="3"/>
      <c r="ULT129" s="3"/>
      <c r="ULU129" s="3"/>
      <c r="ULV129" s="3"/>
      <c r="ULW129" s="3"/>
      <c r="ULX129" s="3"/>
      <c r="ULY129" s="3"/>
      <c r="ULZ129" s="3"/>
      <c r="UMA129" s="3"/>
      <c r="UMB129" s="3"/>
      <c r="UMC129" s="3"/>
      <c r="UMD129" s="3"/>
      <c r="UME129" s="3"/>
      <c r="UMF129" s="3"/>
      <c r="UMG129" s="3"/>
      <c r="UMH129" s="3"/>
      <c r="UMI129" s="3"/>
      <c r="UMJ129" s="3"/>
      <c r="UMK129" s="3"/>
      <c r="UML129" s="3"/>
      <c r="UMM129" s="3"/>
      <c r="UMN129" s="3"/>
      <c r="UMO129" s="3"/>
      <c r="UMP129" s="3"/>
      <c r="UMQ129" s="3"/>
      <c r="UMR129" s="3"/>
      <c r="UMS129" s="3"/>
      <c r="UMT129" s="3"/>
      <c r="UMU129" s="3"/>
      <c r="UMV129" s="3"/>
      <c r="UMW129" s="3"/>
      <c r="UMX129" s="3"/>
      <c r="UMY129" s="3"/>
      <c r="UMZ129" s="3"/>
      <c r="UNA129" s="3"/>
      <c r="UNB129" s="3"/>
      <c r="UNC129" s="3"/>
      <c r="UND129" s="3"/>
      <c r="UNE129" s="3"/>
      <c r="UNF129" s="3"/>
      <c r="UNG129" s="3"/>
      <c r="UNH129" s="3"/>
      <c r="UNI129" s="3"/>
      <c r="UNJ129" s="3"/>
      <c r="UNK129" s="3"/>
      <c r="UNL129" s="3"/>
      <c r="UNM129" s="3"/>
      <c r="UNN129" s="3"/>
      <c r="UNO129" s="3"/>
      <c r="UNP129" s="3"/>
      <c r="UNQ129" s="3"/>
      <c r="UNR129" s="3"/>
      <c r="UNS129" s="3"/>
      <c r="UNT129" s="3"/>
      <c r="UNU129" s="3"/>
      <c r="UNV129" s="3"/>
      <c r="UNW129" s="3"/>
      <c r="UNX129" s="3"/>
      <c r="UNY129" s="3"/>
      <c r="UNZ129" s="3"/>
      <c r="UOA129" s="3"/>
      <c r="UOB129" s="3"/>
      <c r="UOC129" s="3"/>
      <c r="UOD129" s="3"/>
      <c r="UOE129" s="3"/>
      <c r="UOF129" s="3"/>
      <c r="UOG129" s="3"/>
      <c r="UOH129" s="3"/>
      <c r="UOI129" s="3"/>
      <c r="UOJ129" s="3"/>
      <c r="UOK129" s="3"/>
      <c r="UOL129" s="3"/>
      <c r="UOM129" s="3"/>
      <c r="UON129" s="3"/>
      <c r="UOO129" s="3"/>
      <c r="UOP129" s="3"/>
      <c r="UOQ129" s="3"/>
      <c r="UOR129" s="3"/>
      <c r="UOS129" s="3"/>
      <c r="UOT129" s="3"/>
      <c r="UOU129" s="3"/>
      <c r="UOV129" s="3"/>
      <c r="UOW129" s="3"/>
      <c r="UOX129" s="3"/>
      <c r="UOY129" s="3"/>
      <c r="UOZ129" s="3"/>
      <c r="UPA129" s="3"/>
      <c r="UPB129" s="3"/>
      <c r="UPC129" s="3"/>
      <c r="UPD129" s="3"/>
      <c r="UPE129" s="3"/>
      <c r="UPF129" s="3"/>
      <c r="UPG129" s="3"/>
      <c r="UPH129" s="3"/>
      <c r="UPI129" s="3"/>
      <c r="UPJ129" s="3"/>
      <c r="UPK129" s="3"/>
      <c r="UPL129" s="3"/>
      <c r="UPM129" s="3"/>
      <c r="UPN129" s="3"/>
      <c r="UPO129" s="3"/>
      <c r="UPP129" s="3"/>
      <c r="UPQ129" s="3"/>
      <c r="UPR129" s="3"/>
      <c r="UPS129" s="3"/>
      <c r="UPT129" s="3"/>
      <c r="UPU129" s="3"/>
      <c r="UPV129" s="3"/>
      <c r="UPW129" s="3"/>
      <c r="UPX129" s="3"/>
      <c r="UPY129" s="3"/>
      <c r="UPZ129" s="3"/>
      <c r="UQA129" s="3"/>
      <c r="UQB129" s="3"/>
      <c r="UQC129" s="3"/>
      <c r="UQD129" s="3"/>
      <c r="UQE129" s="3"/>
      <c r="UQF129" s="3"/>
      <c r="UQG129" s="3"/>
      <c r="UQH129" s="3"/>
      <c r="UQI129" s="3"/>
      <c r="UQJ129" s="3"/>
      <c r="UQK129" s="3"/>
      <c r="UQL129" s="3"/>
      <c r="UQM129" s="3"/>
      <c r="UQN129" s="3"/>
      <c r="UQO129" s="3"/>
      <c r="UQP129" s="3"/>
      <c r="UQQ129" s="3"/>
      <c r="UQR129" s="3"/>
      <c r="UQS129" s="3"/>
      <c r="UQT129" s="3"/>
      <c r="UQU129" s="3"/>
      <c r="UQV129" s="3"/>
      <c r="UQW129" s="3"/>
      <c r="UQX129" s="3"/>
      <c r="UQY129" s="3"/>
      <c r="UQZ129" s="3"/>
      <c r="URA129" s="3"/>
      <c r="URB129" s="3"/>
      <c r="URC129" s="3"/>
      <c r="URD129" s="3"/>
      <c r="URE129" s="3"/>
      <c r="URF129" s="3"/>
      <c r="URG129" s="3"/>
      <c r="URH129" s="3"/>
      <c r="URI129" s="3"/>
      <c r="URJ129" s="3"/>
      <c r="URK129" s="3"/>
      <c r="URL129" s="3"/>
      <c r="URM129" s="3"/>
      <c r="URN129" s="3"/>
      <c r="URO129" s="3"/>
      <c r="URP129" s="3"/>
      <c r="URQ129" s="3"/>
      <c r="URR129" s="3"/>
      <c r="URS129" s="3"/>
      <c r="URT129" s="3"/>
      <c r="URU129" s="3"/>
      <c r="URV129" s="3"/>
      <c r="URW129" s="3"/>
      <c r="URX129" s="3"/>
      <c r="URY129" s="3"/>
      <c r="URZ129" s="3"/>
      <c r="USA129" s="3"/>
      <c r="USB129" s="3"/>
      <c r="USC129" s="3"/>
      <c r="USD129" s="3"/>
      <c r="USE129" s="3"/>
      <c r="USF129" s="3"/>
      <c r="USG129" s="3"/>
      <c r="USH129" s="3"/>
      <c r="USI129" s="3"/>
      <c r="USJ129" s="3"/>
      <c r="USK129" s="3"/>
      <c r="USL129" s="3"/>
      <c r="USM129" s="3"/>
      <c r="USN129" s="3"/>
      <c r="USO129" s="3"/>
      <c r="USP129" s="3"/>
      <c r="USQ129" s="3"/>
      <c r="USR129" s="3"/>
      <c r="USS129" s="3"/>
      <c r="UST129" s="3"/>
      <c r="USU129" s="3"/>
      <c r="USV129" s="3"/>
      <c r="USW129" s="3"/>
      <c r="USX129" s="3"/>
      <c r="USY129" s="3"/>
      <c r="USZ129" s="3"/>
      <c r="UTA129" s="3"/>
      <c r="UTB129" s="3"/>
      <c r="UTC129" s="3"/>
      <c r="UTD129" s="3"/>
      <c r="UTE129" s="3"/>
      <c r="UTF129" s="3"/>
      <c r="UTG129" s="3"/>
      <c r="UTH129" s="3"/>
      <c r="UTI129" s="3"/>
      <c r="UTJ129" s="3"/>
      <c r="UTK129" s="3"/>
      <c r="UTL129" s="3"/>
      <c r="UTM129" s="3"/>
      <c r="UTN129" s="3"/>
      <c r="UTO129" s="3"/>
      <c r="UTP129" s="3"/>
      <c r="UTQ129" s="3"/>
      <c r="UTR129" s="3"/>
      <c r="UTS129" s="3"/>
      <c r="UTT129" s="3"/>
      <c r="UTU129" s="3"/>
      <c r="UTV129" s="3"/>
      <c r="UTW129" s="3"/>
      <c r="UTX129" s="3"/>
      <c r="UTY129" s="3"/>
      <c r="UTZ129" s="3"/>
      <c r="UUA129" s="3"/>
      <c r="UUB129" s="3"/>
      <c r="UUC129" s="3"/>
      <c r="UUD129" s="3"/>
      <c r="UUE129" s="3"/>
      <c r="UUF129" s="3"/>
      <c r="UUG129" s="3"/>
      <c r="UUH129" s="3"/>
      <c r="UUI129" s="3"/>
      <c r="UUJ129" s="3"/>
      <c r="UUK129" s="3"/>
      <c r="UUL129" s="3"/>
      <c r="UUM129" s="3"/>
      <c r="UUN129" s="3"/>
      <c r="UUO129" s="3"/>
      <c r="UUP129" s="3"/>
      <c r="UUQ129" s="3"/>
      <c r="UUR129" s="3"/>
      <c r="UUS129" s="3"/>
      <c r="UUT129" s="3"/>
      <c r="UUU129" s="3"/>
      <c r="UUV129" s="3"/>
      <c r="UUW129" s="3"/>
      <c r="UUX129" s="3"/>
      <c r="UUY129" s="3"/>
      <c r="UUZ129" s="3"/>
      <c r="UVA129" s="3"/>
      <c r="UVB129" s="3"/>
      <c r="UVC129" s="3"/>
      <c r="UVD129" s="3"/>
      <c r="UVE129" s="3"/>
      <c r="UVF129" s="3"/>
      <c r="UVG129" s="3"/>
      <c r="UVH129" s="3"/>
      <c r="UVI129" s="3"/>
      <c r="UVJ129" s="3"/>
      <c r="UVK129" s="3"/>
      <c r="UVL129" s="3"/>
      <c r="UVM129" s="3"/>
      <c r="UVN129" s="3"/>
      <c r="UVO129" s="3"/>
      <c r="UVP129" s="3"/>
      <c r="UVQ129" s="3"/>
      <c r="UVR129" s="3"/>
      <c r="UVS129" s="3"/>
      <c r="UVT129" s="3"/>
      <c r="UVU129" s="3"/>
      <c r="UVV129" s="3"/>
      <c r="UVW129" s="3"/>
      <c r="UVX129" s="3"/>
      <c r="UVY129" s="3"/>
      <c r="UVZ129" s="3"/>
      <c r="UWA129" s="3"/>
      <c r="UWB129" s="3"/>
      <c r="UWC129" s="3"/>
      <c r="UWD129" s="3"/>
      <c r="UWE129" s="3"/>
      <c r="UWF129" s="3"/>
      <c r="UWG129" s="3"/>
      <c r="UWH129" s="3"/>
      <c r="UWI129" s="3"/>
      <c r="UWJ129" s="3"/>
      <c r="UWK129" s="3"/>
      <c r="UWL129" s="3"/>
      <c r="UWM129" s="3"/>
      <c r="UWN129" s="3"/>
      <c r="UWO129" s="3"/>
      <c r="UWP129" s="3"/>
      <c r="UWQ129" s="3"/>
      <c r="UWR129" s="3"/>
      <c r="UWS129" s="3"/>
      <c r="UWT129" s="3"/>
      <c r="UWU129" s="3"/>
      <c r="UWV129" s="3"/>
      <c r="UWW129" s="3"/>
      <c r="UWX129" s="3"/>
      <c r="UWY129" s="3"/>
      <c r="UWZ129" s="3"/>
      <c r="UXA129" s="3"/>
      <c r="UXB129" s="3"/>
      <c r="UXC129" s="3"/>
      <c r="UXD129" s="3"/>
      <c r="UXE129" s="3"/>
      <c r="UXF129" s="3"/>
      <c r="UXG129" s="3"/>
      <c r="UXH129" s="3"/>
      <c r="UXI129" s="3"/>
      <c r="UXJ129" s="3"/>
      <c r="UXK129" s="3"/>
      <c r="UXL129" s="3"/>
      <c r="UXM129" s="3"/>
      <c r="UXN129" s="3"/>
      <c r="UXO129" s="3"/>
      <c r="UXP129" s="3"/>
      <c r="UXQ129" s="3"/>
      <c r="UXR129" s="3"/>
      <c r="UXS129" s="3"/>
      <c r="UXT129" s="3"/>
      <c r="UXU129" s="3"/>
      <c r="UXV129" s="3"/>
      <c r="UXW129" s="3"/>
      <c r="UXX129" s="3"/>
      <c r="UXY129" s="3"/>
      <c r="UXZ129" s="3"/>
      <c r="UYA129" s="3"/>
      <c r="UYB129" s="3"/>
      <c r="UYC129" s="3"/>
      <c r="UYD129" s="3"/>
      <c r="UYE129" s="3"/>
      <c r="UYF129" s="3"/>
      <c r="UYG129" s="3"/>
      <c r="UYH129" s="3"/>
      <c r="UYI129" s="3"/>
      <c r="UYJ129" s="3"/>
      <c r="UYK129" s="3"/>
      <c r="UYL129" s="3"/>
      <c r="UYM129" s="3"/>
      <c r="UYN129" s="3"/>
      <c r="UYO129" s="3"/>
      <c r="UYP129" s="3"/>
      <c r="UYQ129" s="3"/>
      <c r="UYR129" s="3"/>
      <c r="UYS129" s="3"/>
      <c r="UYT129" s="3"/>
      <c r="UYU129" s="3"/>
      <c r="UYV129" s="3"/>
      <c r="UYW129" s="3"/>
      <c r="UYX129" s="3"/>
      <c r="UYY129" s="3"/>
      <c r="UYZ129" s="3"/>
      <c r="UZA129" s="3"/>
      <c r="UZB129" s="3"/>
      <c r="UZC129" s="3"/>
      <c r="UZD129" s="3"/>
      <c r="UZE129" s="3"/>
      <c r="UZF129" s="3"/>
      <c r="UZG129" s="3"/>
      <c r="UZH129" s="3"/>
      <c r="UZI129" s="3"/>
      <c r="UZJ129" s="3"/>
      <c r="UZK129" s="3"/>
      <c r="UZL129" s="3"/>
      <c r="UZM129" s="3"/>
      <c r="UZN129" s="3"/>
      <c r="UZO129" s="3"/>
      <c r="UZP129" s="3"/>
      <c r="UZQ129" s="3"/>
      <c r="UZR129" s="3"/>
      <c r="UZS129" s="3"/>
      <c r="UZT129" s="3"/>
      <c r="UZU129" s="3"/>
      <c r="UZV129" s="3"/>
      <c r="UZW129" s="3"/>
      <c r="UZX129" s="3"/>
      <c r="UZY129" s="3"/>
      <c r="UZZ129" s="3"/>
      <c r="VAA129" s="3"/>
      <c r="VAB129" s="3"/>
      <c r="VAC129" s="3"/>
      <c r="VAD129" s="3"/>
      <c r="VAE129" s="3"/>
      <c r="VAF129" s="3"/>
      <c r="VAG129" s="3"/>
      <c r="VAH129" s="3"/>
      <c r="VAI129" s="3"/>
      <c r="VAJ129" s="3"/>
      <c r="VAK129" s="3"/>
      <c r="VAL129" s="3"/>
      <c r="VAM129" s="3"/>
      <c r="VAN129" s="3"/>
      <c r="VAO129" s="3"/>
      <c r="VAP129" s="3"/>
      <c r="VAQ129" s="3"/>
      <c r="VAR129" s="3"/>
      <c r="VAS129" s="3"/>
      <c r="VAT129" s="3"/>
      <c r="VAU129" s="3"/>
      <c r="VAV129" s="3"/>
      <c r="VAW129" s="3"/>
      <c r="VAX129" s="3"/>
      <c r="VAY129" s="3"/>
      <c r="VAZ129" s="3"/>
      <c r="VBA129" s="3"/>
      <c r="VBB129" s="3"/>
      <c r="VBC129" s="3"/>
      <c r="VBD129" s="3"/>
      <c r="VBE129" s="3"/>
      <c r="VBF129" s="3"/>
      <c r="VBG129" s="3"/>
      <c r="VBH129" s="3"/>
      <c r="VBI129" s="3"/>
      <c r="VBJ129" s="3"/>
      <c r="VBK129" s="3"/>
      <c r="VBL129" s="3"/>
      <c r="VBM129" s="3"/>
      <c r="VBN129" s="3"/>
      <c r="VBO129" s="3"/>
      <c r="VBP129" s="3"/>
      <c r="VBQ129" s="3"/>
      <c r="VBR129" s="3"/>
      <c r="VBS129" s="3"/>
      <c r="VBT129" s="3"/>
      <c r="VBU129" s="3"/>
      <c r="VBV129" s="3"/>
      <c r="VBW129" s="3"/>
      <c r="VBX129" s="3"/>
      <c r="VBY129" s="3"/>
      <c r="VBZ129" s="3"/>
      <c r="VCA129" s="3"/>
      <c r="VCB129" s="3"/>
      <c r="VCC129" s="3"/>
      <c r="VCD129" s="3"/>
      <c r="VCE129" s="3"/>
      <c r="VCF129" s="3"/>
      <c r="VCG129" s="3"/>
      <c r="VCH129" s="3"/>
      <c r="VCI129" s="3"/>
      <c r="VCJ129" s="3"/>
      <c r="VCK129" s="3"/>
      <c r="VCL129" s="3"/>
      <c r="VCM129" s="3"/>
      <c r="VCN129" s="3"/>
      <c r="VCO129" s="3"/>
      <c r="VCP129" s="3"/>
      <c r="VCQ129" s="3"/>
      <c r="VCR129" s="3"/>
      <c r="VCS129" s="3"/>
      <c r="VCT129" s="3"/>
      <c r="VCU129" s="3"/>
      <c r="VCV129" s="3"/>
      <c r="VCW129" s="3"/>
      <c r="VCX129" s="3"/>
      <c r="VCY129" s="3"/>
      <c r="VCZ129" s="3"/>
      <c r="VDA129" s="3"/>
      <c r="VDB129" s="3"/>
      <c r="VDC129" s="3"/>
      <c r="VDD129" s="3"/>
      <c r="VDE129" s="3"/>
      <c r="VDF129" s="3"/>
      <c r="VDG129" s="3"/>
      <c r="VDH129" s="3"/>
      <c r="VDI129" s="3"/>
      <c r="VDJ129" s="3"/>
      <c r="VDK129" s="3"/>
      <c r="VDL129" s="3"/>
      <c r="VDM129" s="3"/>
      <c r="VDN129" s="3"/>
      <c r="VDO129" s="3"/>
      <c r="VDP129" s="3"/>
      <c r="VDQ129" s="3"/>
      <c r="VDR129" s="3"/>
      <c r="VDS129" s="3"/>
      <c r="VDT129" s="3"/>
      <c r="VDU129" s="3"/>
      <c r="VDV129" s="3"/>
      <c r="VDW129" s="3"/>
      <c r="VDX129" s="3"/>
      <c r="VDY129" s="3"/>
      <c r="VDZ129" s="3"/>
      <c r="VEA129" s="3"/>
      <c r="VEB129" s="3"/>
      <c r="VEC129" s="3"/>
      <c r="VED129" s="3"/>
      <c r="VEE129" s="3"/>
      <c r="VEF129" s="3"/>
      <c r="VEG129" s="3"/>
      <c r="VEH129" s="3"/>
      <c r="VEI129" s="3"/>
      <c r="VEJ129" s="3"/>
      <c r="VEK129" s="3"/>
      <c r="VEL129" s="3"/>
      <c r="VEM129" s="3"/>
      <c r="VEN129" s="3"/>
      <c r="VEO129" s="3"/>
      <c r="VEP129" s="3"/>
      <c r="VEQ129" s="3"/>
      <c r="VER129" s="3"/>
      <c r="VES129" s="3"/>
      <c r="VET129" s="3"/>
      <c r="VEU129" s="3"/>
      <c r="VEV129" s="3"/>
      <c r="VEW129" s="3"/>
      <c r="VEX129" s="3"/>
      <c r="VEY129" s="3"/>
      <c r="VEZ129" s="3"/>
      <c r="VFA129" s="3"/>
      <c r="VFB129" s="3"/>
      <c r="VFC129" s="3"/>
      <c r="VFD129" s="3"/>
      <c r="VFE129" s="3"/>
      <c r="VFF129" s="3"/>
      <c r="VFG129" s="3"/>
      <c r="VFH129" s="3"/>
      <c r="VFI129" s="3"/>
      <c r="VFJ129" s="3"/>
      <c r="VFK129" s="3"/>
      <c r="VFL129" s="3"/>
      <c r="VFM129" s="3"/>
      <c r="VFN129" s="3"/>
      <c r="VFO129" s="3"/>
      <c r="VFP129" s="3"/>
      <c r="VFQ129" s="3"/>
      <c r="VFR129" s="3"/>
      <c r="VFS129" s="3"/>
      <c r="VFT129" s="3"/>
      <c r="VFU129" s="3"/>
      <c r="VFV129" s="3"/>
      <c r="VFW129" s="3"/>
      <c r="VFX129" s="3"/>
      <c r="VFY129" s="3"/>
      <c r="VFZ129" s="3"/>
      <c r="VGA129" s="3"/>
      <c r="VGB129" s="3"/>
      <c r="VGC129" s="3"/>
      <c r="VGD129" s="3"/>
      <c r="VGE129" s="3"/>
      <c r="VGF129" s="3"/>
      <c r="VGG129" s="3"/>
      <c r="VGH129" s="3"/>
      <c r="VGI129" s="3"/>
      <c r="VGJ129" s="3"/>
      <c r="VGK129" s="3"/>
      <c r="VGL129" s="3"/>
      <c r="VGM129" s="3"/>
      <c r="VGN129" s="3"/>
      <c r="VGO129" s="3"/>
      <c r="VGP129" s="3"/>
      <c r="VGQ129" s="3"/>
      <c r="VGR129" s="3"/>
      <c r="VGS129" s="3"/>
      <c r="VGT129" s="3"/>
      <c r="VGU129" s="3"/>
      <c r="VGV129" s="3"/>
      <c r="VGW129" s="3"/>
      <c r="VGX129" s="3"/>
      <c r="VGY129" s="3"/>
      <c r="VGZ129" s="3"/>
      <c r="VHA129" s="3"/>
      <c r="VHB129" s="3"/>
      <c r="VHC129" s="3"/>
      <c r="VHD129" s="3"/>
      <c r="VHE129" s="3"/>
      <c r="VHF129" s="3"/>
      <c r="VHG129" s="3"/>
      <c r="VHH129" s="3"/>
      <c r="VHI129" s="3"/>
      <c r="VHJ129" s="3"/>
      <c r="VHK129" s="3"/>
      <c r="VHL129" s="3"/>
      <c r="VHM129" s="3"/>
      <c r="VHN129" s="3"/>
      <c r="VHO129" s="3"/>
      <c r="VHP129" s="3"/>
      <c r="VHQ129" s="3"/>
      <c r="VHR129" s="3"/>
      <c r="VHS129" s="3"/>
      <c r="VHT129" s="3"/>
      <c r="VHU129" s="3"/>
      <c r="VHV129" s="3"/>
      <c r="VHW129" s="3"/>
      <c r="VHX129" s="3"/>
      <c r="VHY129" s="3"/>
      <c r="VHZ129" s="3"/>
      <c r="VIA129" s="3"/>
      <c r="VIB129" s="3"/>
      <c r="VIC129" s="3"/>
      <c r="VID129" s="3"/>
      <c r="VIE129" s="3"/>
      <c r="VIF129" s="3"/>
      <c r="VIG129" s="3"/>
      <c r="VIH129" s="3"/>
      <c r="VII129" s="3"/>
      <c r="VIJ129" s="3"/>
      <c r="VIK129" s="3"/>
      <c r="VIL129" s="3"/>
      <c r="VIM129" s="3"/>
      <c r="VIN129" s="3"/>
      <c r="VIO129" s="3"/>
      <c r="VIP129" s="3"/>
      <c r="VIQ129" s="3"/>
      <c r="VIR129" s="3"/>
      <c r="VIS129" s="3"/>
      <c r="VIT129" s="3"/>
      <c r="VIU129" s="3"/>
      <c r="VIV129" s="3"/>
      <c r="VIW129" s="3"/>
      <c r="VIX129" s="3"/>
      <c r="VIY129" s="3"/>
      <c r="VIZ129" s="3"/>
      <c r="VJA129" s="3"/>
      <c r="VJB129" s="3"/>
      <c r="VJC129" s="3"/>
      <c r="VJD129" s="3"/>
      <c r="VJE129" s="3"/>
      <c r="VJF129" s="3"/>
      <c r="VJG129" s="3"/>
      <c r="VJH129" s="3"/>
      <c r="VJI129" s="3"/>
      <c r="VJJ129" s="3"/>
      <c r="VJK129" s="3"/>
      <c r="VJL129" s="3"/>
      <c r="VJM129" s="3"/>
      <c r="VJN129" s="3"/>
      <c r="VJO129" s="3"/>
      <c r="VJP129" s="3"/>
      <c r="VJQ129" s="3"/>
      <c r="VJR129" s="3"/>
      <c r="VJS129" s="3"/>
      <c r="VJT129" s="3"/>
      <c r="VJU129" s="3"/>
      <c r="VJV129" s="3"/>
      <c r="VJW129" s="3"/>
      <c r="VJX129" s="3"/>
      <c r="VJY129" s="3"/>
      <c r="VJZ129" s="3"/>
      <c r="VKA129" s="3"/>
      <c r="VKB129" s="3"/>
      <c r="VKC129" s="3"/>
      <c r="VKD129" s="3"/>
      <c r="VKE129" s="3"/>
      <c r="VKF129" s="3"/>
      <c r="VKG129" s="3"/>
      <c r="VKH129" s="3"/>
      <c r="VKI129" s="3"/>
      <c r="VKJ129" s="3"/>
      <c r="VKK129" s="3"/>
      <c r="VKL129" s="3"/>
      <c r="VKM129" s="3"/>
      <c r="VKN129" s="3"/>
      <c r="VKO129" s="3"/>
      <c r="VKP129" s="3"/>
      <c r="VKQ129" s="3"/>
      <c r="VKR129" s="3"/>
      <c r="VKS129" s="3"/>
      <c r="VKT129" s="3"/>
      <c r="VKU129" s="3"/>
      <c r="VKV129" s="3"/>
      <c r="VKW129" s="3"/>
      <c r="VKX129" s="3"/>
      <c r="VKY129" s="3"/>
      <c r="VKZ129" s="3"/>
      <c r="VLA129" s="3"/>
      <c r="VLB129" s="3"/>
      <c r="VLC129" s="3"/>
      <c r="VLD129" s="3"/>
      <c r="VLE129" s="3"/>
      <c r="VLF129" s="3"/>
      <c r="VLG129" s="3"/>
      <c r="VLH129" s="3"/>
      <c r="VLI129" s="3"/>
      <c r="VLJ129" s="3"/>
      <c r="VLK129" s="3"/>
      <c r="VLL129" s="3"/>
      <c r="VLM129" s="3"/>
      <c r="VLN129" s="3"/>
      <c r="VLO129" s="3"/>
      <c r="VLP129" s="3"/>
      <c r="VLQ129" s="3"/>
      <c r="VLR129" s="3"/>
      <c r="VLS129" s="3"/>
      <c r="VLT129" s="3"/>
      <c r="VLU129" s="3"/>
      <c r="VLV129" s="3"/>
      <c r="VLW129" s="3"/>
      <c r="VLX129" s="3"/>
      <c r="VLY129" s="3"/>
      <c r="VLZ129" s="3"/>
      <c r="VMA129" s="3"/>
      <c r="VMB129" s="3"/>
      <c r="VMC129" s="3"/>
      <c r="VMD129" s="3"/>
      <c r="VME129" s="3"/>
      <c r="VMF129" s="3"/>
      <c r="VMG129" s="3"/>
      <c r="VMH129" s="3"/>
      <c r="VMI129" s="3"/>
      <c r="VMJ129" s="3"/>
      <c r="VMK129" s="3"/>
      <c r="VML129" s="3"/>
      <c r="VMM129" s="3"/>
      <c r="VMN129" s="3"/>
      <c r="VMO129" s="3"/>
      <c r="VMP129" s="3"/>
      <c r="VMQ129" s="3"/>
      <c r="VMR129" s="3"/>
      <c r="VMS129" s="3"/>
      <c r="VMT129" s="3"/>
      <c r="VMU129" s="3"/>
      <c r="VMV129" s="3"/>
      <c r="VMW129" s="3"/>
      <c r="VMX129" s="3"/>
      <c r="VMY129" s="3"/>
      <c r="VMZ129" s="3"/>
      <c r="VNA129" s="3"/>
      <c r="VNB129" s="3"/>
      <c r="VNC129" s="3"/>
      <c r="VND129" s="3"/>
      <c r="VNE129" s="3"/>
      <c r="VNF129" s="3"/>
      <c r="VNG129" s="3"/>
      <c r="VNH129" s="3"/>
      <c r="VNI129" s="3"/>
      <c r="VNJ129" s="3"/>
      <c r="VNK129" s="3"/>
      <c r="VNL129" s="3"/>
      <c r="VNM129" s="3"/>
      <c r="VNN129" s="3"/>
      <c r="VNO129" s="3"/>
      <c r="VNP129" s="3"/>
      <c r="VNQ129" s="3"/>
      <c r="VNR129" s="3"/>
      <c r="VNS129" s="3"/>
      <c r="VNT129" s="3"/>
      <c r="VNU129" s="3"/>
      <c r="VNV129" s="3"/>
      <c r="VNW129" s="3"/>
      <c r="VNX129" s="3"/>
      <c r="VNY129" s="3"/>
      <c r="VNZ129" s="3"/>
      <c r="VOA129" s="3"/>
      <c r="VOB129" s="3"/>
      <c r="VOC129" s="3"/>
      <c r="VOD129" s="3"/>
      <c r="VOE129" s="3"/>
      <c r="VOF129" s="3"/>
      <c r="VOG129" s="3"/>
      <c r="VOH129" s="3"/>
      <c r="VOI129" s="3"/>
      <c r="VOJ129" s="3"/>
      <c r="VOK129" s="3"/>
      <c r="VOL129" s="3"/>
      <c r="VOM129" s="3"/>
      <c r="VON129" s="3"/>
      <c r="VOO129" s="3"/>
      <c r="VOP129" s="3"/>
      <c r="VOQ129" s="3"/>
      <c r="VOR129" s="3"/>
      <c r="VOS129" s="3"/>
      <c r="VOT129" s="3"/>
      <c r="VOU129" s="3"/>
      <c r="VOV129" s="3"/>
      <c r="VOW129" s="3"/>
      <c r="VOX129" s="3"/>
      <c r="VOY129" s="3"/>
      <c r="VOZ129" s="3"/>
      <c r="VPA129" s="3"/>
      <c r="VPB129" s="3"/>
      <c r="VPC129" s="3"/>
      <c r="VPD129" s="3"/>
      <c r="VPE129" s="3"/>
      <c r="VPF129" s="3"/>
      <c r="VPG129" s="3"/>
      <c r="VPH129" s="3"/>
      <c r="VPI129" s="3"/>
      <c r="VPJ129" s="3"/>
      <c r="VPK129" s="3"/>
      <c r="VPL129" s="3"/>
      <c r="VPM129" s="3"/>
      <c r="VPN129" s="3"/>
      <c r="VPO129" s="3"/>
      <c r="VPP129" s="3"/>
      <c r="VPQ129" s="3"/>
      <c r="VPR129" s="3"/>
      <c r="VPS129" s="3"/>
      <c r="VPT129" s="3"/>
      <c r="VPU129" s="3"/>
      <c r="VPV129" s="3"/>
      <c r="VPW129" s="3"/>
      <c r="VPX129" s="3"/>
      <c r="VPY129" s="3"/>
      <c r="VPZ129" s="3"/>
      <c r="VQA129" s="3"/>
      <c r="VQB129" s="3"/>
      <c r="VQC129" s="3"/>
      <c r="VQD129" s="3"/>
      <c r="VQE129" s="3"/>
      <c r="VQF129" s="3"/>
      <c r="VQG129" s="3"/>
      <c r="VQH129" s="3"/>
      <c r="VQI129" s="3"/>
      <c r="VQJ129" s="3"/>
      <c r="VQK129" s="3"/>
      <c r="VQL129" s="3"/>
      <c r="VQM129" s="3"/>
      <c r="VQN129" s="3"/>
      <c r="VQO129" s="3"/>
      <c r="VQP129" s="3"/>
      <c r="VQQ129" s="3"/>
      <c r="VQR129" s="3"/>
      <c r="VQS129" s="3"/>
      <c r="VQT129" s="3"/>
      <c r="VQU129" s="3"/>
      <c r="VQV129" s="3"/>
      <c r="VQW129" s="3"/>
      <c r="VQX129" s="3"/>
      <c r="VQY129" s="3"/>
      <c r="VQZ129" s="3"/>
      <c r="VRA129" s="3"/>
      <c r="VRB129" s="3"/>
      <c r="VRC129" s="3"/>
      <c r="VRD129" s="3"/>
      <c r="VRE129" s="3"/>
      <c r="VRF129" s="3"/>
      <c r="VRG129" s="3"/>
      <c r="VRH129" s="3"/>
      <c r="VRI129" s="3"/>
      <c r="VRJ129" s="3"/>
      <c r="VRK129" s="3"/>
      <c r="VRL129" s="3"/>
      <c r="VRM129" s="3"/>
      <c r="VRN129" s="3"/>
      <c r="VRO129" s="3"/>
      <c r="VRP129" s="3"/>
      <c r="VRQ129" s="3"/>
      <c r="VRR129" s="3"/>
      <c r="VRS129" s="3"/>
      <c r="VRT129" s="3"/>
      <c r="VRU129" s="3"/>
      <c r="VRV129" s="3"/>
      <c r="VRW129" s="3"/>
      <c r="VRX129" s="3"/>
      <c r="VRY129" s="3"/>
      <c r="VRZ129" s="3"/>
      <c r="VSA129" s="3"/>
      <c r="VSB129" s="3"/>
      <c r="VSC129" s="3"/>
      <c r="VSD129" s="3"/>
      <c r="VSE129" s="3"/>
      <c r="VSF129" s="3"/>
      <c r="VSG129" s="3"/>
      <c r="VSH129" s="3"/>
      <c r="VSI129" s="3"/>
      <c r="VSJ129" s="3"/>
      <c r="VSK129" s="3"/>
      <c r="VSL129" s="3"/>
      <c r="VSM129" s="3"/>
      <c r="VSN129" s="3"/>
      <c r="VSO129" s="3"/>
      <c r="VSP129" s="3"/>
      <c r="VSQ129" s="3"/>
      <c r="VSR129" s="3"/>
      <c r="VSS129" s="3"/>
      <c r="VST129" s="3"/>
      <c r="VSU129" s="3"/>
      <c r="VSV129" s="3"/>
      <c r="VSW129" s="3"/>
      <c r="VSX129" s="3"/>
      <c r="VSY129" s="3"/>
      <c r="VSZ129" s="3"/>
      <c r="VTA129" s="3"/>
      <c r="VTB129" s="3"/>
      <c r="VTC129" s="3"/>
      <c r="VTD129" s="3"/>
      <c r="VTE129" s="3"/>
      <c r="VTF129" s="3"/>
      <c r="VTG129" s="3"/>
      <c r="VTH129" s="3"/>
      <c r="VTI129" s="3"/>
      <c r="VTJ129" s="3"/>
      <c r="VTK129" s="3"/>
      <c r="VTL129" s="3"/>
      <c r="VTM129" s="3"/>
      <c r="VTN129" s="3"/>
      <c r="VTO129" s="3"/>
      <c r="VTP129" s="3"/>
      <c r="VTQ129" s="3"/>
      <c r="VTR129" s="3"/>
      <c r="VTS129" s="3"/>
      <c r="VTT129" s="3"/>
      <c r="VTU129" s="3"/>
      <c r="VTV129" s="3"/>
      <c r="VTW129" s="3"/>
      <c r="VTX129" s="3"/>
      <c r="VTY129" s="3"/>
      <c r="VTZ129" s="3"/>
      <c r="VUA129" s="3"/>
      <c r="VUB129" s="3"/>
      <c r="VUC129" s="3"/>
      <c r="VUD129" s="3"/>
      <c r="VUE129" s="3"/>
      <c r="VUF129" s="3"/>
      <c r="VUG129" s="3"/>
      <c r="VUH129" s="3"/>
      <c r="VUI129" s="3"/>
      <c r="VUJ129" s="3"/>
      <c r="VUK129" s="3"/>
      <c r="VUL129" s="3"/>
      <c r="VUM129" s="3"/>
      <c r="VUN129" s="3"/>
      <c r="VUO129" s="3"/>
      <c r="VUP129" s="3"/>
      <c r="VUQ129" s="3"/>
      <c r="VUR129" s="3"/>
      <c r="VUS129" s="3"/>
      <c r="VUT129" s="3"/>
      <c r="VUU129" s="3"/>
      <c r="VUV129" s="3"/>
      <c r="VUW129" s="3"/>
      <c r="VUX129" s="3"/>
      <c r="VUY129" s="3"/>
      <c r="VUZ129" s="3"/>
      <c r="VVA129" s="3"/>
      <c r="VVB129" s="3"/>
      <c r="VVC129" s="3"/>
      <c r="VVD129" s="3"/>
      <c r="VVE129" s="3"/>
      <c r="VVF129" s="3"/>
      <c r="VVG129" s="3"/>
      <c r="VVH129" s="3"/>
      <c r="VVI129" s="3"/>
      <c r="VVJ129" s="3"/>
      <c r="VVK129" s="3"/>
      <c r="VVL129" s="3"/>
      <c r="VVM129" s="3"/>
      <c r="VVN129" s="3"/>
      <c r="VVO129" s="3"/>
      <c r="VVP129" s="3"/>
      <c r="VVQ129" s="3"/>
      <c r="VVR129" s="3"/>
      <c r="VVS129" s="3"/>
      <c r="VVT129" s="3"/>
      <c r="VVU129" s="3"/>
      <c r="VVV129" s="3"/>
      <c r="VVW129" s="3"/>
      <c r="VVX129" s="3"/>
      <c r="VVY129" s="3"/>
      <c r="VVZ129" s="3"/>
      <c r="VWA129" s="3"/>
      <c r="VWB129" s="3"/>
      <c r="VWC129" s="3"/>
      <c r="VWD129" s="3"/>
      <c r="VWE129" s="3"/>
      <c r="VWF129" s="3"/>
      <c r="VWG129" s="3"/>
      <c r="VWH129" s="3"/>
      <c r="VWI129" s="3"/>
      <c r="VWJ129" s="3"/>
      <c r="VWK129" s="3"/>
      <c r="VWL129" s="3"/>
      <c r="VWM129" s="3"/>
      <c r="VWN129" s="3"/>
      <c r="VWO129" s="3"/>
      <c r="VWP129" s="3"/>
      <c r="VWQ129" s="3"/>
      <c r="VWR129" s="3"/>
      <c r="VWS129" s="3"/>
      <c r="VWT129" s="3"/>
      <c r="VWU129" s="3"/>
      <c r="VWV129" s="3"/>
      <c r="VWW129" s="3"/>
      <c r="VWX129" s="3"/>
      <c r="VWY129" s="3"/>
      <c r="VWZ129" s="3"/>
      <c r="VXA129" s="3"/>
      <c r="VXB129" s="3"/>
      <c r="VXC129" s="3"/>
      <c r="VXD129" s="3"/>
      <c r="VXE129" s="3"/>
      <c r="VXF129" s="3"/>
      <c r="VXG129" s="3"/>
      <c r="VXH129" s="3"/>
      <c r="VXI129" s="3"/>
      <c r="VXJ129" s="3"/>
      <c r="VXK129" s="3"/>
      <c r="VXL129" s="3"/>
      <c r="VXM129" s="3"/>
      <c r="VXN129" s="3"/>
      <c r="VXO129" s="3"/>
      <c r="VXP129" s="3"/>
      <c r="VXQ129" s="3"/>
      <c r="VXR129" s="3"/>
      <c r="VXS129" s="3"/>
      <c r="VXT129" s="3"/>
      <c r="VXU129" s="3"/>
      <c r="VXV129" s="3"/>
      <c r="VXW129" s="3"/>
      <c r="VXX129" s="3"/>
      <c r="VXY129" s="3"/>
      <c r="VXZ129" s="3"/>
      <c r="VYA129" s="3"/>
      <c r="VYB129" s="3"/>
      <c r="VYC129" s="3"/>
      <c r="VYD129" s="3"/>
      <c r="VYE129" s="3"/>
      <c r="VYF129" s="3"/>
      <c r="VYG129" s="3"/>
      <c r="VYH129" s="3"/>
      <c r="VYI129" s="3"/>
      <c r="VYJ129" s="3"/>
      <c r="VYK129" s="3"/>
      <c r="VYL129" s="3"/>
      <c r="VYM129" s="3"/>
      <c r="VYN129" s="3"/>
      <c r="VYO129" s="3"/>
      <c r="VYP129" s="3"/>
      <c r="VYQ129" s="3"/>
      <c r="VYR129" s="3"/>
      <c r="VYS129" s="3"/>
      <c r="VYT129" s="3"/>
      <c r="VYU129" s="3"/>
      <c r="VYV129" s="3"/>
      <c r="VYW129" s="3"/>
      <c r="VYX129" s="3"/>
      <c r="VYY129" s="3"/>
      <c r="VYZ129" s="3"/>
      <c r="VZA129" s="3"/>
      <c r="VZB129" s="3"/>
      <c r="VZC129" s="3"/>
      <c r="VZD129" s="3"/>
      <c r="VZE129" s="3"/>
      <c r="VZF129" s="3"/>
      <c r="VZG129" s="3"/>
      <c r="VZH129" s="3"/>
      <c r="VZI129" s="3"/>
      <c r="VZJ129" s="3"/>
      <c r="VZK129" s="3"/>
      <c r="VZL129" s="3"/>
      <c r="VZM129" s="3"/>
      <c r="VZN129" s="3"/>
      <c r="VZO129" s="3"/>
      <c r="VZP129" s="3"/>
      <c r="VZQ129" s="3"/>
      <c r="VZR129" s="3"/>
      <c r="VZS129" s="3"/>
      <c r="VZT129" s="3"/>
      <c r="VZU129" s="3"/>
      <c r="VZV129" s="3"/>
      <c r="VZW129" s="3"/>
      <c r="VZX129" s="3"/>
      <c r="VZY129" s="3"/>
      <c r="VZZ129" s="3"/>
      <c r="WAA129" s="3"/>
      <c r="WAB129" s="3"/>
      <c r="WAC129" s="3"/>
      <c r="WAD129" s="3"/>
      <c r="WAE129" s="3"/>
      <c r="WAF129" s="3"/>
      <c r="WAG129" s="3"/>
      <c r="WAH129" s="3"/>
      <c r="WAI129" s="3"/>
      <c r="WAJ129" s="3"/>
      <c r="WAK129" s="3"/>
      <c r="WAL129" s="3"/>
      <c r="WAM129" s="3"/>
      <c r="WAN129" s="3"/>
      <c r="WAO129" s="3"/>
      <c r="WAP129" s="3"/>
      <c r="WAQ129" s="3"/>
      <c r="WAR129" s="3"/>
      <c r="WAS129" s="3"/>
      <c r="WAT129" s="3"/>
      <c r="WAU129" s="3"/>
      <c r="WAV129" s="3"/>
      <c r="WAW129" s="3"/>
      <c r="WAX129" s="3"/>
      <c r="WAY129" s="3"/>
      <c r="WAZ129" s="3"/>
      <c r="WBA129" s="3"/>
      <c r="WBB129" s="3"/>
      <c r="WBC129" s="3"/>
      <c r="WBD129" s="3"/>
      <c r="WBE129" s="3"/>
      <c r="WBF129" s="3"/>
      <c r="WBG129" s="3"/>
      <c r="WBH129" s="3"/>
      <c r="WBI129" s="3"/>
      <c r="WBJ129" s="3"/>
      <c r="WBK129" s="3"/>
      <c r="WBL129" s="3"/>
      <c r="WBM129" s="3"/>
      <c r="WBN129" s="3"/>
      <c r="WBO129" s="3"/>
      <c r="WBP129" s="3"/>
      <c r="WBQ129" s="3"/>
      <c r="WBR129" s="3"/>
      <c r="WBS129" s="3"/>
      <c r="WBT129" s="3"/>
      <c r="WBU129" s="3"/>
      <c r="WBV129" s="3"/>
      <c r="WBW129" s="3"/>
      <c r="WBX129" s="3"/>
      <c r="WBY129" s="3"/>
      <c r="WBZ129" s="3"/>
      <c r="WCA129" s="3"/>
      <c r="WCB129" s="3"/>
      <c r="WCC129" s="3"/>
      <c r="WCD129" s="3"/>
      <c r="WCE129" s="3"/>
      <c r="WCF129" s="3"/>
      <c r="WCG129" s="3"/>
      <c r="WCH129" s="3"/>
      <c r="WCI129" s="3"/>
      <c r="WCJ129" s="3"/>
      <c r="WCK129" s="3"/>
      <c r="WCL129" s="3"/>
      <c r="WCM129" s="3"/>
      <c r="WCN129" s="3"/>
      <c r="WCO129" s="3"/>
      <c r="WCP129" s="3"/>
      <c r="WCQ129" s="3"/>
      <c r="WCR129" s="3"/>
      <c r="WCS129" s="3"/>
      <c r="WCT129" s="3"/>
      <c r="WCU129" s="3"/>
      <c r="WCV129" s="3"/>
      <c r="WCW129" s="3"/>
      <c r="WCX129" s="3"/>
      <c r="WCY129" s="3"/>
      <c r="WCZ129" s="3"/>
      <c r="WDA129" s="3"/>
      <c r="WDB129" s="3"/>
      <c r="WDC129" s="3"/>
      <c r="WDD129" s="3"/>
      <c r="WDE129" s="3"/>
      <c r="WDF129" s="3"/>
      <c r="WDG129" s="3"/>
      <c r="WDH129" s="3"/>
      <c r="WDI129" s="3"/>
      <c r="WDJ129" s="3"/>
      <c r="WDK129" s="3"/>
      <c r="WDL129" s="3"/>
      <c r="WDM129" s="3"/>
      <c r="WDN129" s="3"/>
      <c r="WDO129" s="3"/>
      <c r="WDP129" s="3"/>
      <c r="WDQ129" s="3"/>
      <c r="WDR129" s="3"/>
      <c r="WDS129" s="3"/>
      <c r="WDT129" s="3"/>
      <c r="WDU129" s="3"/>
      <c r="WDV129" s="3"/>
      <c r="WDW129" s="3"/>
      <c r="WDX129" s="3"/>
      <c r="WDY129" s="3"/>
      <c r="WDZ129" s="3"/>
      <c r="WEA129" s="3"/>
      <c r="WEB129" s="3"/>
      <c r="WEC129" s="3"/>
      <c r="WED129" s="3"/>
      <c r="WEE129" s="3"/>
      <c r="WEF129" s="3"/>
      <c r="WEG129" s="3"/>
      <c r="WEH129" s="3"/>
      <c r="WEI129" s="3"/>
      <c r="WEJ129" s="3"/>
      <c r="WEK129" s="3"/>
      <c r="WEL129" s="3"/>
      <c r="WEM129" s="3"/>
      <c r="WEN129" s="3"/>
      <c r="WEO129" s="3"/>
      <c r="WEP129" s="3"/>
      <c r="WEQ129" s="3"/>
      <c r="WER129" s="3"/>
      <c r="WES129" s="3"/>
      <c r="WET129" s="3"/>
      <c r="WEU129" s="3"/>
      <c r="WEV129" s="3"/>
      <c r="WEW129" s="3"/>
      <c r="WEX129" s="3"/>
      <c r="WEY129" s="3"/>
      <c r="WEZ129" s="3"/>
      <c r="WFA129" s="3"/>
      <c r="WFB129" s="3"/>
      <c r="WFC129" s="3"/>
      <c r="WFD129" s="3"/>
      <c r="WFE129" s="3"/>
      <c r="WFF129" s="3"/>
      <c r="WFG129" s="3"/>
      <c r="WFH129" s="3"/>
      <c r="WFI129" s="3"/>
      <c r="WFJ129" s="3"/>
      <c r="WFK129" s="3"/>
      <c r="WFL129" s="3"/>
      <c r="WFM129" s="3"/>
      <c r="WFN129" s="3"/>
      <c r="WFO129" s="3"/>
      <c r="WFP129" s="3"/>
      <c r="WFQ129" s="3"/>
      <c r="WFR129" s="3"/>
      <c r="WFS129" s="3"/>
      <c r="WFT129" s="3"/>
      <c r="WFU129" s="3"/>
      <c r="WFV129" s="3"/>
      <c r="WFW129" s="3"/>
      <c r="WFX129" s="3"/>
      <c r="WFY129" s="3"/>
      <c r="WFZ129" s="3"/>
      <c r="WGA129" s="3"/>
      <c r="WGB129" s="3"/>
      <c r="WGC129" s="3"/>
      <c r="WGD129" s="3"/>
      <c r="WGE129" s="3"/>
      <c r="WGF129" s="3"/>
      <c r="WGG129" s="3"/>
      <c r="WGH129" s="3"/>
      <c r="WGI129" s="3"/>
      <c r="WGJ129" s="3"/>
      <c r="WGK129" s="3"/>
      <c r="WGL129" s="3"/>
      <c r="WGM129" s="3"/>
      <c r="WGN129" s="3"/>
      <c r="WGO129" s="3"/>
      <c r="WGP129" s="3"/>
      <c r="WGQ129" s="3"/>
      <c r="WGR129" s="3"/>
      <c r="WGS129" s="3"/>
      <c r="WGT129" s="3"/>
      <c r="WGU129" s="3"/>
      <c r="WGV129" s="3"/>
      <c r="WGW129" s="3"/>
      <c r="WGX129" s="3"/>
      <c r="WGY129" s="3"/>
      <c r="WGZ129" s="3"/>
      <c r="WHA129" s="3"/>
      <c r="WHB129" s="3"/>
      <c r="WHC129" s="3"/>
      <c r="WHD129" s="3"/>
      <c r="WHE129" s="3"/>
      <c r="WHF129" s="3"/>
      <c r="WHG129" s="3"/>
      <c r="WHH129" s="3"/>
      <c r="WHI129" s="3"/>
      <c r="WHJ129" s="3"/>
      <c r="WHK129" s="3"/>
      <c r="WHL129" s="3"/>
      <c r="WHM129" s="3"/>
      <c r="WHN129" s="3"/>
      <c r="WHO129" s="3"/>
      <c r="WHP129" s="3"/>
      <c r="WHQ129" s="3"/>
      <c r="WHR129" s="3"/>
      <c r="WHS129" s="3"/>
      <c r="WHT129" s="3"/>
      <c r="WHU129" s="3"/>
      <c r="WHV129" s="3"/>
      <c r="WHW129" s="3"/>
      <c r="WHX129" s="3"/>
      <c r="WHY129" s="3"/>
      <c r="WHZ129" s="3"/>
      <c r="WIA129" s="3"/>
      <c r="WIB129" s="3"/>
      <c r="WIC129" s="3"/>
      <c r="WID129" s="3"/>
      <c r="WIE129" s="3"/>
      <c r="WIF129" s="3"/>
      <c r="WIG129" s="3"/>
      <c r="WIH129" s="3"/>
      <c r="WII129" s="3"/>
      <c r="WIJ129" s="3"/>
      <c r="WIK129" s="3"/>
      <c r="WIL129" s="3"/>
      <c r="WIM129" s="3"/>
      <c r="WIN129" s="3"/>
      <c r="WIO129" s="3"/>
      <c r="WIP129" s="3"/>
      <c r="WIQ129" s="3"/>
      <c r="WIR129" s="3"/>
      <c r="WIS129" s="3"/>
      <c r="WIT129" s="3"/>
      <c r="WIU129" s="3"/>
      <c r="WIV129" s="3"/>
      <c r="WIW129" s="3"/>
      <c r="WIX129" s="3"/>
      <c r="WIY129" s="3"/>
      <c r="WIZ129" s="3"/>
      <c r="WJA129" s="3"/>
      <c r="WJB129" s="3"/>
      <c r="WJC129" s="3"/>
      <c r="WJD129" s="3"/>
      <c r="WJE129" s="3"/>
      <c r="WJF129" s="3"/>
      <c r="WJG129" s="3"/>
      <c r="WJH129" s="3"/>
      <c r="WJI129" s="3"/>
      <c r="WJJ129" s="3"/>
      <c r="WJK129" s="3"/>
      <c r="WJL129" s="3"/>
      <c r="WJM129" s="3"/>
      <c r="WJN129" s="3"/>
      <c r="WJO129" s="3"/>
      <c r="WJP129" s="3"/>
      <c r="WJQ129" s="3"/>
      <c r="WJR129" s="3"/>
      <c r="WJS129" s="3"/>
      <c r="WJT129" s="3"/>
      <c r="WJU129" s="3"/>
      <c r="WJV129" s="3"/>
      <c r="WJW129" s="3"/>
      <c r="WJX129" s="3"/>
      <c r="WJY129" s="3"/>
      <c r="WJZ129" s="3"/>
      <c r="WKA129" s="3"/>
      <c r="WKB129" s="3"/>
      <c r="WKC129" s="3"/>
      <c r="WKD129" s="3"/>
      <c r="WKE129" s="3"/>
      <c r="WKF129" s="3"/>
      <c r="WKG129" s="3"/>
      <c r="WKH129" s="3"/>
      <c r="WKI129" s="3"/>
      <c r="WKJ129" s="3"/>
      <c r="WKK129" s="3"/>
      <c r="WKL129" s="3"/>
      <c r="WKM129" s="3"/>
      <c r="WKN129" s="3"/>
      <c r="WKO129" s="3"/>
      <c r="WKP129" s="3"/>
      <c r="WKQ129" s="3"/>
      <c r="WKR129" s="3"/>
      <c r="WKS129" s="3"/>
      <c r="WKT129" s="3"/>
      <c r="WKU129" s="3"/>
      <c r="WKV129" s="3"/>
      <c r="WKW129" s="3"/>
      <c r="WKX129" s="3"/>
      <c r="WKY129" s="3"/>
      <c r="WKZ129" s="3"/>
      <c r="WLA129" s="3"/>
      <c r="WLB129" s="3"/>
      <c r="WLC129" s="3"/>
      <c r="WLD129" s="3"/>
      <c r="WLE129" s="3"/>
      <c r="WLF129" s="3"/>
      <c r="WLG129" s="3"/>
      <c r="WLH129" s="3"/>
      <c r="WLI129" s="3"/>
      <c r="WLJ129" s="3"/>
      <c r="WLK129" s="3"/>
      <c r="WLL129" s="3"/>
      <c r="WLM129" s="3"/>
      <c r="WLN129" s="3"/>
      <c r="WLO129" s="3"/>
      <c r="WLP129" s="3"/>
      <c r="WLQ129" s="3"/>
      <c r="WLR129" s="3"/>
      <c r="WLS129" s="3"/>
      <c r="WLT129" s="3"/>
      <c r="WLU129" s="3"/>
      <c r="WLV129" s="3"/>
      <c r="WLW129" s="3"/>
      <c r="WLX129" s="3"/>
      <c r="WLY129" s="3"/>
      <c r="WLZ129" s="3"/>
      <c r="WMA129" s="3"/>
      <c r="WMB129" s="3"/>
      <c r="WMC129" s="3"/>
      <c r="WMD129" s="3"/>
      <c r="WME129" s="3"/>
      <c r="WMF129" s="3"/>
      <c r="WMG129" s="3"/>
      <c r="WMH129" s="3"/>
      <c r="WMI129" s="3"/>
      <c r="WMJ129" s="3"/>
      <c r="WMK129" s="3"/>
      <c r="WML129" s="3"/>
      <c r="WMM129" s="3"/>
      <c r="WMN129" s="3"/>
      <c r="WMO129" s="3"/>
      <c r="WMP129" s="3"/>
      <c r="WMQ129" s="3"/>
      <c r="WMR129" s="3"/>
      <c r="WMS129" s="3"/>
      <c r="WMT129" s="3"/>
      <c r="WMU129" s="3"/>
      <c r="WMV129" s="3"/>
      <c r="WMW129" s="3"/>
      <c r="WMX129" s="3"/>
      <c r="WMY129" s="3"/>
      <c r="WMZ129" s="3"/>
      <c r="WNA129" s="3"/>
      <c r="WNB129" s="3"/>
      <c r="WNC129" s="3"/>
      <c r="WND129" s="3"/>
      <c r="WNE129" s="3"/>
      <c r="WNF129" s="3"/>
      <c r="WNG129" s="3"/>
      <c r="WNH129" s="3"/>
      <c r="WNI129" s="3"/>
      <c r="WNJ129" s="3"/>
      <c r="WNK129" s="3"/>
      <c r="WNL129" s="3"/>
      <c r="WNM129" s="3"/>
      <c r="WNN129" s="3"/>
      <c r="WNO129" s="3"/>
      <c r="WNP129" s="3"/>
      <c r="WNQ129" s="3"/>
      <c r="WNR129" s="3"/>
      <c r="WNS129" s="3"/>
      <c r="WNT129" s="3"/>
      <c r="WNU129" s="3"/>
      <c r="WNV129" s="3"/>
      <c r="WNW129" s="3"/>
      <c r="WNX129" s="3"/>
      <c r="WNY129" s="3"/>
      <c r="WNZ129" s="3"/>
      <c r="WOA129" s="3"/>
      <c r="WOB129" s="3"/>
      <c r="WOC129" s="3"/>
      <c r="WOD129" s="3"/>
      <c r="WOE129" s="3"/>
      <c r="WOF129" s="3"/>
      <c r="WOG129" s="3"/>
      <c r="WOH129" s="3"/>
      <c r="WOI129" s="3"/>
      <c r="WOJ129" s="3"/>
      <c r="WOK129" s="3"/>
      <c r="WOL129" s="3"/>
      <c r="WOM129" s="3"/>
      <c r="WON129" s="3"/>
      <c r="WOO129" s="3"/>
      <c r="WOP129" s="3"/>
      <c r="WOQ129" s="3"/>
      <c r="WOR129" s="3"/>
      <c r="WOS129" s="3"/>
      <c r="WOT129" s="3"/>
      <c r="WOU129" s="3"/>
      <c r="WOV129" s="3"/>
      <c r="WOW129" s="3"/>
      <c r="WOX129" s="3"/>
      <c r="WOY129" s="3"/>
      <c r="WOZ129" s="3"/>
      <c r="WPA129" s="3"/>
      <c r="WPB129" s="3"/>
      <c r="WPC129" s="3"/>
      <c r="WPD129" s="3"/>
      <c r="WPE129" s="3"/>
      <c r="WPF129" s="3"/>
      <c r="WPG129" s="3"/>
      <c r="WPH129" s="3"/>
      <c r="WPI129" s="3"/>
      <c r="WPJ129" s="3"/>
      <c r="WPK129" s="3"/>
      <c r="WPL129" s="3"/>
      <c r="WPM129" s="3"/>
      <c r="WPN129" s="3"/>
      <c r="WPO129" s="3"/>
      <c r="WPP129" s="3"/>
      <c r="WPQ129" s="3"/>
      <c r="WPR129" s="3"/>
      <c r="WPS129" s="3"/>
      <c r="WPT129" s="3"/>
      <c r="WPU129" s="3"/>
      <c r="WPV129" s="3"/>
      <c r="WPW129" s="3"/>
      <c r="WPX129" s="3"/>
      <c r="WPY129" s="3"/>
      <c r="WPZ129" s="3"/>
      <c r="WQA129" s="3"/>
      <c r="WQB129" s="3"/>
      <c r="WQC129" s="3"/>
      <c r="WQD129" s="3"/>
      <c r="WQE129" s="3"/>
      <c r="WQF129" s="3"/>
      <c r="WQG129" s="3"/>
      <c r="WQH129" s="3"/>
      <c r="WQI129" s="3"/>
      <c r="WQJ129" s="3"/>
      <c r="WQK129" s="3"/>
      <c r="WQL129" s="3"/>
      <c r="WQM129" s="3"/>
      <c r="WQN129" s="3"/>
      <c r="WQO129" s="3"/>
      <c r="WQP129" s="3"/>
      <c r="WQQ129" s="3"/>
      <c r="WQR129" s="3"/>
      <c r="WQS129" s="3"/>
      <c r="WQT129" s="3"/>
      <c r="WQU129" s="3"/>
      <c r="WQV129" s="3"/>
      <c r="WQW129" s="3"/>
      <c r="WQX129" s="3"/>
      <c r="WQY129" s="3"/>
      <c r="WQZ129" s="3"/>
      <c r="WRA129" s="3"/>
      <c r="WRB129" s="3"/>
      <c r="WRC129" s="3"/>
      <c r="WRD129" s="3"/>
      <c r="WRE129" s="3"/>
      <c r="WRF129" s="3"/>
      <c r="WRG129" s="3"/>
      <c r="WRH129" s="3"/>
      <c r="WRI129" s="3"/>
      <c r="WRJ129" s="3"/>
      <c r="WRK129" s="3"/>
      <c r="WRL129" s="3"/>
      <c r="WRM129" s="3"/>
      <c r="WRN129" s="3"/>
      <c r="WRO129" s="3"/>
      <c r="WRP129" s="3"/>
      <c r="WRQ129" s="3"/>
      <c r="WRR129" s="3"/>
      <c r="WRS129" s="3"/>
      <c r="WRT129" s="3"/>
      <c r="WRU129" s="3"/>
      <c r="WRV129" s="3"/>
      <c r="WRW129" s="3"/>
      <c r="WRX129" s="3"/>
      <c r="WRY129" s="3"/>
      <c r="WRZ129" s="3"/>
      <c r="WSA129" s="3"/>
      <c r="WSB129" s="3"/>
      <c r="WSC129" s="3"/>
      <c r="WSD129" s="3"/>
      <c r="WSE129" s="3"/>
      <c r="WSF129" s="3"/>
      <c r="WSG129" s="3"/>
      <c r="WSH129" s="3"/>
      <c r="WSI129" s="3"/>
      <c r="WSJ129" s="3"/>
      <c r="WSK129" s="3"/>
      <c r="WSL129" s="3"/>
      <c r="WSM129" s="3"/>
      <c r="WSN129" s="3"/>
      <c r="WSO129" s="3"/>
      <c r="WSP129" s="3"/>
      <c r="WSQ129" s="3"/>
      <c r="WSR129" s="3"/>
      <c r="WSS129" s="3"/>
      <c r="WST129" s="3"/>
      <c r="WSU129" s="3"/>
      <c r="WSV129" s="3"/>
      <c r="WSW129" s="3"/>
      <c r="WSX129" s="3"/>
      <c r="WSY129" s="3"/>
      <c r="WSZ129" s="3"/>
      <c r="WTA129" s="3"/>
      <c r="WTB129" s="3"/>
      <c r="WTC129" s="3"/>
      <c r="WTD129" s="3"/>
      <c r="WTE129" s="3"/>
      <c r="WTF129" s="3"/>
      <c r="WTG129" s="3"/>
      <c r="WTH129" s="3"/>
      <c r="WTI129" s="3"/>
      <c r="WTJ129" s="3"/>
      <c r="WTK129" s="3"/>
      <c r="WTL129" s="3"/>
      <c r="WTM129" s="3"/>
      <c r="WTN129" s="3"/>
      <c r="WTO129" s="3"/>
      <c r="WTP129" s="3"/>
      <c r="WTQ129" s="3"/>
      <c r="WTR129" s="3"/>
      <c r="WTS129" s="3"/>
      <c r="WTT129" s="3"/>
      <c r="WTU129" s="3"/>
      <c r="WTV129" s="3"/>
      <c r="WTW129" s="3"/>
      <c r="WTX129" s="3"/>
      <c r="WTY129" s="3"/>
      <c r="WTZ129" s="3"/>
      <c r="WUA129" s="3"/>
      <c r="WUB129" s="3"/>
      <c r="WUC129" s="3"/>
      <c r="WUD129" s="3"/>
      <c r="WUE129" s="3"/>
      <c r="WUF129" s="3"/>
      <c r="WUG129" s="3"/>
      <c r="WUH129" s="3"/>
      <c r="WUI129" s="3"/>
      <c r="WUJ129" s="3"/>
      <c r="WUK129" s="3"/>
      <c r="WUL129" s="3"/>
      <c r="WUM129" s="3"/>
      <c r="WUN129" s="3"/>
      <c r="WUO129" s="3"/>
      <c r="WUP129" s="3"/>
      <c r="WUQ129" s="3"/>
      <c r="WUR129" s="3"/>
      <c r="WUS129" s="3"/>
      <c r="WUT129" s="3"/>
      <c r="WUU129" s="3"/>
      <c r="WUV129" s="3"/>
      <c r="WUW129" s="3"/>
      <c r="WUX129" s="3"/>
      <c r="WUY129" s="3"/>
      <c r="WUZ129" s="3"/>
      <c r="WVA129" s="3"/>
      <c r="WVB129" s="3"/>
      <c r="WVC129" s="3"/>
      <c r="WVD129" s="3"/>
      <c r="WVE129" s="3"/>
      <c r="WVF129" s="3"/>
      <c r="WVG129" s="3"/>
      <c r="WVH129" s="3"/>
      <c r="WVI129" s="3"/>
      <c r="WVJ129" s="3"/>
      <c r="WVK129" s="3"/>
      <c r="WVL129" s="3"/>
      <c r="WVM129" s="3"/>
      <c r="WVN129" s="3"/>
      <c r="WVO129" s="3"/>
      <c r="WVP129" s="3"/>
      <c r="WVQ129" s="3"/>
      <c r="WVR129" s="3"/>
      <c r="WVS129" s="3"/>
      <c r="WVT129" s="3"/>
      <c r="WVU129" s="3"/>
      <c r="WVV129" s="3"/>
      <c r="WVW129" s="3"/>
      <c r="WVX129" s="3"/>
      <c r="WVY129" s="3"/>
      <c r="WVZ129" s="3"/>
      <c r="WWA129" s="3"/>
      <c r="WWB129" s="3"/>
      <c r="WWC129" s="3"/>
      <c r="WWD129" s="3"/>
      <c r="WWE129" s="3"/>
      <c r="WWF129" s="3"/>
      <c r="WWG129" s="3"/>
      <c r="WWH129" s="3"/>
      <c r="WWI129" s="3"/>
      <c r="WWJ129" s="3"/>
      <c r="WWK129" s="3"/>
      <c r="WWL129" s="3"/>
      <c r="WWM129" s="3"/>
      <c r="WWN129" s="3"/>
      <c r="WWO129" s="3"/>
      <c r="WWP129" s="3"/>
      <c r="WWQ129" s="3"/>
      <c r="WWR129" s="3"/>
      <c r="WWS129" s="3"/>
      <c r="WWT129" s="3"/>
      <c r="WWU129" s="3"/>
      <c r="WWV129" s="3"/>
      <c r="WWW129" s="3"/>
      <c r="WWX129" s="3"/>
      <c r="WWY129" s="3"/>
      <c r="WWZ129" s="3"/>
      <c r="WXA129" s="3"/>
      <c r="WXB129" s="3"/>
      <c r="WXC129" s="3"/>
      <c r="WXD129" s="3"/>
      <c r="WXE129" s="3"/>
      <c r="WXF129" s="3"/>
      <c r="WXG129" s="3"/>
      <c r="WXH129" s="3"/>
      <c r="WXI129" s="3"/>
      <c r="WXJ129" s="3"/>
      <c r="WXK129" s="3"/>
      <c r="WXL129" s="3"/>
      <c r="WXM129" s="3"/>
      <c r="WXN129" s="3"/>
      <c r="WXO129" s="3"/>
      <c r="WXP129" s="3"/>
      <c r="WXQ129" s="3"/>
      <c r="WXR129" s="3"/>
      <c r="WXS129" s="3"/>
      <c r="WXT129" s="3"/>
      <c r="WXU129" s="3"/>
      <c r="WXV129" s="3"/>
      <c r="WXW129" s="3"/>
      <c r="WXX129" s="3"/>
      <c r="WXY129" s="3"/>
      <c r="WXZ129" s="3"/>
      <c r="WYA129" s="3"/>
      <c r="WYB129" s="3"/>
      <c r="WYC129" s="3"/>
      <c r="WYD129" s="3"/>
      <c r="WYE129" s="3"/>
      <c r="WYF129" s="3"/>
      <c r="WYG129" s="3"/>
      <c r="WYH129" s="3"/>
      <c r="WYI129" s="3"/>
      <c r="WYJ129" s="3"/>
      <c r="WYK129" s="3"/>
      <c r="WYL129" s="3"/>
      <c r="WYM129" s="3"/>
      <c r="WYN129" s="3"/>
      <c r="WYO129" s="3"/>
      <c r="WYP129" s="3"/>
      <c r="WYQ129" s="3"/>
      <c r="WYR129" s="3"/>
      <c r="WYS129" s="3"/>
      <c r="WYT129" s="3"/>
      <c r="WYU129" s="3"/>
      <c r="WYV129" s="3"/>
      <c r="WYW129" s="3"/>
      <c r="WYX129" s="3"/>
      <c r="WYY129" s="3"/>
      <c r="WYZ129" s="3"/>
      <c r="WZA129" s="3"/>
      <c r="WZB129" s="3"/>
      <c r="WZC129" s="3"/>
      <c r="WZD129" s="3"/>
      <c r="WZE129" s="3"/>
      <c r="WZF129" s="3"/>
      <c r="WZG129" s="3"/>
      <c r="WZH129" s="3"/>
      <c r="WZI129" s="3"/>
      <c r="WZJ129" s="3"/>
      <c r="WZK129" s="3"/>
      <c r="WZL129" s="3"/>
      <c r="WZM129" s="3"/>
      <c r="WZN129" s="3"/>
      <c r="WZO129" s="3"/>
      <c r="WZP129" s="3"/>
      <c r="WZQ129" s="3"/>
      <c r="WZR129" s="3"/>
      <c r="WZS129" s="3"/>
      <c r="WZT129" s="3"/>
      <c r="WZU129" s="3"/>
      <c r="WZV129" s="3"/>
      <c r="WZW129" s="3"/>
      <c r="WZX129" s="3"/>
      <c r="WZY129" s="3"/>
      <c r="WZZ129" s="3"/>
      <c r="XAA129" s="3"/>
      <c r="XAB129" s="3"/>
      <c r="XAC129" s="3"/>
      <c r="XAD129" s="3"/>
      <c r="XAE129" s="3"/>
      <c r="XAF129" s="3"/>
      <c r="XAG129" s="3"/>
      <c r="XAH129" s="3"/>
      <c r="XAI129" s="3"/>
      <c r="XAJ129" s="3"/>
      <c r="XAK129" s="3"/>
      <c r="XAL129" s="3"/>
      <c r="XAM129" s="3"/>
      <c r="XAN129" s="3"/>
      <c r="XAO129" s="3"/>
      <c r="XAP129" s="3"/>
      <c r="XAQ129" s="3"/>
      <c r="XAR129" s="3"/>
      <c r="XAS129" s="3"/>
      <c r="XAT129" s="3"/>
      <c r="XAU129" s="3"/>
      <c r="XAV129" s="3"/>
      <c r="XAW129" s="3"/>
      <c r="XAX129" s="3"/>
      <c r="XAY129" s="3"/>
      <c r="XAZ129" s="3"/>
      <c r="XBA129" s="3"/>
      <c r="XBB129" s="3"/>
      <c r="XBC129" s="3"/>
      <c r="XBD129" s="3"/>
      <c r="XBE129" s="3"/>
      <c r="XBF129" s="3"/>
      <c r="XBG129" s="3"/>
      <c r="XBH129" s="3"/>
      <c r="XBI129" s="3"/>
      <c r="XBJ129" s="3"/>
      <c r="XBK129" s="3"/>
      <c r="XBL129" s="3"/>
      <c r="XBM129" s="3"/>
      <c r="XBN129" s="3"/>
      <c r="XBO129" s="3"/>
      <c r="XBP129" s="3"/>
      <c r="XBQ129" s="3"/>
      <c r="XBR129" s="3"/>
      <c r="XBS129" s="3"/>
      <c r="XBT129" s="3"/>
      <c r="XBU129" s="3"/>
      <c r="XBV129" s="3"/>
      <c r="XBW129" s="3"/>
      <c r="XBX129" s="3"/>
      <c r="XBY129" s="3"/>
      <c r="XBZ129" s="3"/>
      <c r="XCA129" s="3"/>
      <c r="XCB129" s="3"/>
      <c r="XCC129" s="3"/>
      <c r="XCD129" s="3"/>
      <c r="XCE129" s="3"/>
      <c r="XCF129" s="3"/>
      <c r="XCG129" s="3"/>
      <c r="XCH129" s="3"/>
      <c r="XCI129" s="3"/>
      <c r="XCJ129" s="3"/>
      <c r="XCK129" s="3"/>
      <c r="XCL129" s="3"/>
      <c r="XCM129" s="3"/>
      <c r="XCN129" s="3"/>
      <c r="XCO129" s="3"/>
      <c r="XCP129" s="3"/>
      <c r="XCQ129" s="3"/>
      <c r="XCR129" s="3"/>
      <c r="XCS129" s="3"/>
      <c r="XCT129" s="3"/>
      <c r="XCU129" s="3"/>
      <c r="XCV129" s="3"/>
      <c r="XCW129" s="3"/>
      <c r="XCX129" s="3"/>
      <c r="XCY129" s="3"/>
      <c r="XCZ129" s="3"/>
      <c r="XDA129" s="3"/>
      <c r="XDB129" s="3"/>
      <c r="XDC129" s="3"/>
      <c r="XDD129" s="3"/>
      <c r="XDE129" s="3"/>
      <c r="XDF129" s="3"/>
      <c r="XDG129" s="3"/>
      <c r="XDH129" s="3"/>
      <c r="XDI129" s="3"/>
      <c r="XDJ129" s="3"/>
      <c r="XDK129" s="3"/>
      <c r="XDL129" s="3"/>
      <c r="XDM129" s="3"/>
      <c r="XDN129" s="3"/>
      <c r="XDO129" s="3"/>
      <c r="XDP129" s="3"/>
      <c r="XDQ129" s="3"/>
      <c r="XDR129" s="3"/>
      <c r="XDS129" s="3"/>
      <c r="XDT129" s="3"/>
      <c r="XDU129" s="3"/>
      <c r="XDV129" s="3"/>
      <c r="XDW129" s="3"/>
      <c r="XDX129" s="3"/>
      <c r="XDY129" s="3"/>
      <c r="XDZ129" s="3"/>
      <c r="XEA129" s="3"/>
      <c r="XEB129" s="3"/>
      <c r="XEC129" s="3"/>
      <c r="XED129" s="3"/>
      <c r="XEE129" s="3"/>
      <c r="XEF129" s="3"/>
      <c r="XEG129" s="3"/>
      <c r="XEH129" s="3"/>
      <c r="XEI129" s="3"/>
      <c r="XEJ129" s="3"/>
      <c r="XEK129" s="3"/>
      <c r="XEL129" s="3"/>
      <c r="XEM129" s="3"/>
      <c r="XEN129" s="3"/>
      <c r="XEO129" s="3"/>
      <c r="XEP129" s="3"/>
      <c r="XEQ129" s="3"/>
      <c r="XER129" s="3"/>
      <c r="XES129" s="3"/>
      <c r="XET129" s="3"/>
      <c r="XEU129" s="3"/>
      <c r="XEV129" s="3"/>
      <c r="XEW129" s="3"/>
      <c r="XEX129" s="3"/>
      <c r="XEY129" s="3"/>
      <c r="XEZ129" s="3"/>
    </row>
    <row r="130" spans="1:16380" ht="101.25" x14ac:dyDescent="0.25">
      <c r="A130" s="3"/>
      <c r="B130" s="3">
        <v>126</v>
      </c>
      <c r="C130" s="3" t="s">
        <v>278</v>
      </c>
      <c r="D130" s="3" t="s">
        <v>279</v>
      </c>
      <c r="E130" s="40">
        <f>3904.35+713.58+148</f>
        <v>4765.93</v>
      </c>
      <c r="F130" s="4">
        <v>4765.93</v>
      </c>
      <c r="G130" s="3" t="s">
        <v>286</v>
      </c>
      <c r="H130" s="3" t="s">
        <v>81</v>
      </c>
      <c r="I130" s="3" t="s">
        <v>19</v>
      </c>
      <c r="J130" s="10" t="s">
        <v>284</v>
      </c>
      <c r="K130" s="3" t="s">
        <v>353</v>
      </c>
      <c r="L130" s="3"/>
      <c r="M130" s="3"/>
      <c r="N130" s="3"/>
      <c r="O130" s="3"/>
      <c r="P130" s="3"/>
      <c r="Q130" s="3"/>
      <c r="R130" s="3"/>
      <c r="S130" s="3"/>
    </row>
    <row r="131" spans="1:16380" ht="45" x14ac:dyDescent="0.25">
      <c r="A131" s="3"/>
      <c r="B131" s="3">
        <v>127</v>
      </c>
      <c r="C131" s="3" t="s">
        <v>280</v>
      </c>
      <c r="D131" s="3" t="s">
        <v>193</v>
      </c>
      <c r="E131" s="40" t="s">
        <v>228</v>
      </c>
      <c r="F131" s="4">
        <v>70</v>
      </c>
      <c r="G131" s="3" t="s">
        <v>287</v>
      </c>
      <c r="H131" s="3" t="s">
        <v>81</v>
      </c>
      <c r="I131" s="3" t="s">
        <v>19</v>
      </c>
      <c r="J131" s="10" t="s">
        <v>11</v>
      </c>
      <c r="K131" s="3" t="s">
        <v>356</v>
      </c>
      <c r="L131" s="3"/>
      <c r="M131" s="3"/>
      <c r="N131" s="3"/>
      <c r="O131" s="3"/>
      <c r="P131" s="3"/>
      <c r="Q131" s="3"/>
      <c r="R131" s="3"/>
      <c r="S131" s="3"/>
    </row>
    <row r="132" spans="1:16380" ht="45" x14ac:dyDescent="0.25">
      <c r="A132" s="3"/>
      <c r="B132" s="1">
        <v>128</v>
      </c>
      <c r="C132" s="3" t="s">
        <v>107</v>
      </c>
      <c r="D132" s="3" t="s">
        <v>108</v>
      </c>
      <c r="E132" s="40">
        <v>95.57</v>
      </c>
      <c r="F132" s="4">
        <v>95.57</v>
      </c>
      <c r="G132" s="3" t="s">
        <v>287</v>
      </c>
      <c r="H132" s="3" t="s">
        <v>81</v>
      </c>
      <c r="I132" s="3" t="s">
        <v>19</v>
      </c>
      <c r="J132" s="10" t="s">
        <v>11</v>
      </c>
      <c r="K132" s="3" t="s">
        <v>354</v>
      </c>
      <c r="L132" s="3"/>
      <c r="M132" s="3"/>
      <c r="N132" s="3"/>
      <c r="O132" s="3"/>
      <c r="P132" s="3"/>
      <c r="Q132" s="3"/>
      <c r="R132" s="3"/>
      <c r="S132" s="3"/>
    </row>
    <row r="133" spans="1:16380" ht="45" x14ac:dyDescent="0.25">
      <c r="A133" s="3"/>
      <c r="B133" s="1">
        <v>129</v>
      </c>
      <c r="C133" s="3" t="s">
        <v>294</v>
      </c>
      <c r="D133" s="3" t="s">
        <v>295</v>
      </c>
      <c r="E133" s="41">
        <f>360*11</f>
        <v>3960</v>
      </c>
      <c r="F133" s="4">
        <v>3960</v>
      </c>
      <c r="G133" s="3" t="s">
        <v>326</v>
      </c>
      <c r="H133" s="3" t="s">
        <v>26</v>
      </c>
      <c r="I133" s="3" t="s">
        <v>19</v>
      </c>
      <c r="J133" s="10" t="s">
        <v>11</v>
      </c>
      <c r="K133" s="3" t="s">
        <v>377</v>
      </c>
      <c r="L133" s="3"/>
      <c r="M133" s="3"/>
      <c r="N133" s="3"/>
      <c r="O133" s="3"/>
      <c r="P133" s="3"/>
      <c r="Q133" s="3"/>
      <c r="R133" s="3"/>
      <c r="S133" s="3"/>
    </row>
    <row r="134" spans="1:16380" ht="45" x14ac:dyDescent="0.25">
      <c r="A134" s="3"/>
      <c r="B134" s="3">
        <v>130</v>
      </c>
      <c r="C134" s="3" t="s">
        <v>296</v>
      </c>
      <c r="D134" s="3" t="s">
        <v>297</v>
      </c>
      <c r="E134" s="40">
        <v>4720</v>
      </c>
      <c r="F134" s="4">
        <v>4720</v>
      </c>
      <c r="G134" s="3" t="s">
        <v>326</v>
      </c>
      <c r="H134" s="3" t="s">
        <v>81</v>
      </c>
      <c r="I134" s="3" t="s">
        <v>19</v>
      </c>
      <c r="J134" s="8" t="s">
        <v>13</v>
      </c>
      <c r="K134" s="3" t="s">
        <v>327</v>
      </c>
      <c r="L134" s="3"/>
      <c r="M134" s="3"/>
      <c r="N134" s="3"/>
      <c r="O134" s="3"/>
      <c r="P134" s="3"/>
      <c r="Q134" s="3"/>
      <c r="R134" s="3"/>
      <c r="S134" s="3"/>
    </row>
    <row r="135" spans="1:16380" ht="45" x14ac:dyDescent="0.25">
      <c r="A135" s="3"/>
      <c r="B135" s="3">
        <v>131</v>
      </c>
      <c r="C135" s="3" t="s">
        <v>298</v>
      </c>
      <c r="D135" s="3" t="s">
        <v>89</v>
      </c>
      <c r="E135" s="41">
        <f>442.8+134.1+598.5+105.3+146.25+818.1+52.2+441+152.1+917.1+100.8+92.7+58.5+46.8+106.2+400+119.7+120+60+59.85+416.7+108+360+99.9</f>
        <v>5956.5999999999995</v>
      </c>
      <c r="F135" s="4">
        <v>10000</v>
      </c>
      <c r="G135" s="3" t="s">
        <v>326</v>
      </c>
      <c r="H135" s="3" t="s">
        <v>26</v>
      </c>
      <c r="I135" s="3" t="s">
        <v>19</v>
      </c>
      <c r="J135" s="8" t="s">
        <v>13</v>
      </c>
      <c r="K135" s="3" t="s">
        <v>328</v>
      </c>
      <c r="L135" s="3"/>
      <c r="M135" s="3"/>
      <c r="N135" s="3"/>
      <c r="O135" s="3"/>
      <c r="P135" s="3"/>
      <c r="Q135" s="3"/>
      <c r="R135" s="3"/>
      <c r="S135" s="3"/>
    </row>
    <row r="136" spans="1:16380" ht="45" x14ac:dyDescent="0.25">
      <c r="A136" s="3"/>
      <c r="B136" s="1">
        <v>133</v>
      </c>
      <c r="C136" s="3" t="s">
        <v>299</v>
      </c>
      <c r="D136" s="3" t="s">
        <v>89</v>
      </c>
      <c r="E136" s="40">
        <f>482.25+138.85+172.5+151.8+127.9+164.45</f>
        <v>1237.7500000000002</v>
      </c>
      <c r="F136" s="4">
        <v>10000</v>
      </c>
      <c r="G136" s="3" t="s">
        <v>326</v>
      </c>
      <c r="H136" s="3" t="s">
        <v>26</v>
      </c>
      <c r="I136" s="3" t="s">
        <v>19</v>
      </c>
      <c r="J136" s="8" t="s">
        <v>13</v>
      </c>
      <c r="K136" s="3" t="s">
        <v>329</v>
      </c>
      <c r="L136" s="3"/>
      <c r="M136" s="3"/>
      <c r="N136" s="3"/>
      <c r="O136" s="3"/>
      <c r="P136" s="3"/>
      <c r="Q136" s="3"/>
      <c r="R136" s="3"/>
      <c r="S136" s="3"/>
    </row>
    <row r="137" spans="1:16380" ht="45" x14ac:dyDescent="0.25">
      <c r="A137" s="3"/>
      <c r="B137" s="3">
        <v>134</v>
      </c>
      <c r="C137" s="3" t="s">
        <v>300</v>
      </c>
      <c r="D137" s="3" t="s">
        <v>89</v>
      </c>
      <c r="E137" s="40">
        <f>33.12+149.04+49.68+79.2+31.56+96.25+99.36+134.55+48.64+147.29+139.73+46+217+49.7+58</f>
        <v>1379.1200000000001</v>
      </c>
      <c r="F137" s="4">
        <v>10000</v>
      </c>
      <c r="G137" s="3" t="s">
        <v>326</v>
      </c>
      <c r="H137" s="3" t="s">
        <v>26</v>
      </c>
      <c r="I137" s="3" t="s">
        <v>19</v>
      </c>
      <c r="J137" s="8" t="s">
        <v>13</v>
      </c>
      <c r="K137" s="3" t="s">
        <v>330</v>
      </c>
      <c r="L137" s="3"/>
      <c r="M137" s="3"/>
      <c r="N137" s="3"/>
      <c r="O137" s="3"/>
      <c r="P137" s="3"/>
      <c r="Q137" s="3"/>
      <c r="R137" s="3"/>
      <c r="S137" s="3"/>
    </row>
    <row r="138" spans="1:16380" ht="45" x14ac:dyDescent="0.25">
      <c r="A138" s="3"/>
      <c r="B138" s="3">
        <v>135</v>
      </c>
      <c r="C138" s="3" t="s">
        <v>301</v>
      </c>
      <c r="D138" s="3" t="s">
        <v>89</v>
      </c>
      <c r="E138" s="40">
        <v>442.8</v>
      </c>
      <c r="F138" s="4">
        <v>5000</v>
      </c>
      <c r="G138" s="3" t="s">
        <v>326</v>
      </c>
      <c r="H138" s="3" t="s">
        <v>26</v>
      </c>
      <c r="I138" s="3" t="s">
        <v>19</v>
      </c>
      <c r="J138" s="8" t="s">
        <v>13</v>
      </c>
      <c r="K138" s="27" t="s">
        <v>374</v>
      </c>
      <c r="L138" s="3"/>
      <c r="M138" s="3"/>
      <c r="N138" s="3"/>
      <c r="O138" s="3"/>
      <c r="P138" s="3"/>
      <c r="Q138" s="3"/>
      <c r="R138" s="3"/>
      <c r="S138" s="3"/>
    </row>
    <row r="139" spans="1:16380" ht="45" x14ac:dyDescent="0.25">
      <c r="A139" s="3"/>
      <c r="B139" s="1">
        <v>136</v>
      </c>
      <c r="C139" s="3" t="s">
        <v>302</v>
      </c>
      <c r="D139" s="3" t="s">
        <v>89</v>
      </c>
      <c r="E139" s="43">
        <f>73.59+339.24+91.96</f>
        <v>504.79</v>
      </c>
      <c r="F139" s="4">
        <v>5000</v>
      </c>
      <c r="G139" s="3" t="s">
        <v>326</v>
      </c>
      <c r="H139" s="3" t="s">
        <v>26</v>
      </c>
      <c r="I139" s="3" t="s">
        <v>19</v>
      </c>
      <c r="J139" s="8" t="s">
        <v>13</v>
      </c>
      <c r="K139" s="3" t="s">
        <v>331</v>
      </c>
      <c r="L139" s="3"/>
      <c r="M139" s="3"/>
      <c r="N139" s="3"/>
      <c r="O139" s="3"/>
      <c r="P139" s="3"/>
      <c r="Q139" s="3"/>
      <c r="R139" s="3"/>
      <c r="S139" s="3"/>
    </row>
    <row r="140" spans="1:16380" ht="45" x14ac:dyDescent="0.25">
      <c r="A140" s="3"/>
      <c r="B140" s="1">
        <v>137</v>
      </c>
      <c r="C140" s="3" t="s">
        <v>303</v>
      </c>
      <c r="D140" s="3" t="s">
        <v>89</v>
      </c>
      <c r="E140" s="40">
        <f>150.08+500.34+174.24+59.89+99+369.96+187.4+116.32</f>
        <v>1657.23</v>
      </c>
      <c r="F140" s="4">
        <v>2000</v>
      </c>
      <c r="G140" s="3" t="s">
        <v>326</v>
      </c>
      <c r="H140" s="3" t="s">
        <v>26</v>
      </c>
      <c r="I140" s="3" t="s">
        <v>19</v>
      </c>
      <c r="J140" s="8" t="s">
        <v>13</v>
      </c>
      <c r="K140" s="3" t="s">
        <v>332</v>
      </c>
      <c r="L140" s="3"/>
      <c r="M140" s="3"/>
      <c r="N140" s="3"/>
      <c r="O140" s="3"/>
      <c r="P140" s="3"/>
      <c r="Q140" s="3"/>
      <c r="R140" s="3"/>
      <c r="S140" s="3"/>
    </row>
    <row r="141" spans="1:16380" ht="45" x14ac:dyDescent="0.25">
      <c r="A141" s="3"/>
      <c r="B141" s="3">
        <v>138</v>
      </c>
      <c r="C141" s="3" t="s">
        <v>304</v>
      </c>
      <c r="D141" s="3" t="s">
        <v>89</v>
      </c>
      <c r="E141" s="41">
        <f>450 +450+450+85+350+100</f>
        <v>1885</v>
      </c>
      <c r="F141" s="4">
        <v>2000</v>
      </c>
      <c r="G141" s="3" t="s">
        <v>326</v>
      </c>
      <c r="H141" s="3" t="s">
        <v>26</v>
      </c>
      <c r="I141" s="3" t="s">
        <v>19</v>
      </c>
      <c r="J141" s="8" t="s">
        <v>13</v>
      </c>
      <c r="K141" s="3" t="s">
        <v>333</v>
      </c>
      <c r="L141" s="3"/>
      <c r="M141" s="3"/>
      <c r="N141" s="3"/>
      <c r="O141" s="3"/>
      <c r="P141" s="3"/>
      <c r="Q141" s="3"/>
      <c r="R141" s="3"/>
      <c r="S141" s="3"/>
    </row>
    <row r="142" spans="1:16380" ht="101.25" x14ac:dyDescent="0.25">
      <c r="A142" s="3"/>
      <c r="B142" s="1">
        <v>140</v>
      </c>
      <c r="C142" s="3" t="s">
        <v>305</v>
      </c>
      <c r="D142" s="3" t="s">
        <v>306</v>
      </c>
      <c r="E142" s="40">
        <v>24182.81</v>
      </c>
      <c r="F142" s="4">
        <v>25517.5</v>
      </c>
      <c r="G142" s="3" t="s">
        <v>334</v>
      </c>
      <c r="H142" s="3" t="s">
        <v>81</v>
      </c>
      <c r="I142" s="3" t="s">
        <v>19</v>
      </c>
      <c r="J142" s="10" t="s">
        <v>284</v>
      </c>
      <c r="K142" s="3" t="s">
        <v>335</v>
      </c>
      <c r="L142" s="3"/>
      <c r="M142" s="3"/>
      <c r="N142" s="3"/>
      <c r="O142" s="3"/>
      <c r="P142" s="3"/>
      <c r="Q142" s="3"/>
      <c r="R142" s="3"/>
      <c r="S142" s="3"/>
    </row>
    <row r="143" spans="1:16380" ht="101.25" x14ac:dyDescent="0.25">
      <c r="A143" s="3"/>
      <c r="B143" s="1">
        <v>141</v>
      </c>
      <c r="C143" s="3" t="s">
        <v>307</v>
      </c>
      <c r="D143" s="3" t="s">
        <v>101</v>
      </c>
      <c r="E143" s="40">
        <f>450*11</f>
        <v>4950</v>
      </c>
      <c r="F143" s="4">
        <v>4950</v>
      </c>
      <c r="G143" s="3" t="s">
        <v>334</v>
      </c>
      <c r="H143" s="3" t="s">
        <v>26</v>
      </c>
      <c r="I143" s="3" t="s">
        <v>19</v>
      </c>
      <c r="J143" s="10" t="s">
        <v>284</v>
      </c>
      <c r="K143" s="3" t="s">
        <v>364</v>
      </c>
      <c r="L143" s="3"/>
      <c r="M143" s="3"/>
      <c r="N143" s="3"/>
      <c r="O143" s="3"/>
      <c r="P143" s="3"/>
      <c r="Q143" s="3"/>
      <c r="R143" s="3"/>
      <c r="S143" s="3"/>
    </row>
    <row r="144" spans="1:16380" ht="101.25" x14ac:dyDescent="0.25">
      <c r="A144" s="3"/>
      <c r="B144" s="3">
        <v>142</v>
      </c>
      <c r="C144" s="3" t="s">
        <v>308</v>
      </c>
      <c r="D144" s="3" t="s">
        <v>101</v>
      </c>
      <c r="E144" s="40">
        <v>1500</v>
      </c>
      <c r="F144" s="4">
        <v>1500</v>
      </c>
      <c r="G144" s="3" t="s">
        <v>334</v>
      </c>
      <c r="H144" s="3" t="s">
        <v>26</v>
      </c>
      <c r="I144" s="3" t="s">
        <v>19</v>
      </c>
      <c r="J144" s="10" t="s">
        <v>284</v>
      </c>
      <c r="K144" s="3" t="s">
        <v>365</v>
      </c>
      <c r="L144" s="3"/>
      <c r="M144" s="3"/>
      <c r="N144" s="3"/>
      <c r="O144" s="3"/>
      <c r="P144" s="3"/>
      <c r="Q144" s="3"/>
      <c r="R144" s="3"/>
      <c r="S144" s="3"/>
    </row>
    <row r="145" spans="1:19" ht="101.25" x14ac:dyDescent="0.25">
      <c r="A145" s="3"/>
      <c r="B145" s="3">
        <v>143</v>
      </c>
      <c r="C145" s="3" t="s">
        <v>309</v>
      </c>
      <c r="D145" s="3" t="s">
        <v>310</v>
      </c>
      <c r="E145" s="40">
        <f>11*578</f>
        <v>6358</v>
      </c>
      <c r="F145" s="4">
        <v>6936</v>
      </c>
      <c r="G145" s="3" t="s">
        <v>334</v>
      </c>
      <c r="H145" s="3" t="s">
        <v>26</v>
      </c>
      <c r="I145" s="3" t="s">
        <v>19</v>
      </c>
      <c r="J145" s="10" t="s">
        <v>284</v>
      </c>
      <c r="K145" s="3" t="s">
        <v>366</v>
      </c>
      <c r="L145" s="3"/>
      <c r="M145" s="3"/>
      <c r="N145" s="3"/>
      <c r="O145" s="3"/>
      <c r="P145" s="3"/>
      <c r="Q145" s="3"/>
      <c r="R145" s="3"/>
      <c r="S145" s="3"/>
    </row>
    <row r="146" spans="1:19" ht="101.25" x14ac:dyDescent="0.25">
      <c r="A146" s="3"/>
      <c r="B146" s="1">
        <v>144</v>
      </c>
      <c r="C146" s="3" t="s">
        <v>311</v>
      </c>
      <c r="D146" s="3" t="s">
        <v>310</v>
      </c>
      <c r="E146" s="40">
        <f>11*354</f>
        <v>3894</v>
      </c>
      <c r="F146" s="4">
        <v>3894</v>
      </c>
      <c r="G146" s="3" t="s">
        <v>334</v>
      </c>
      <c r="H146" s="3" t="s">
        <v>26</v>
      </c>
      <c r="I146" s="3" t="s">
        <v>19</v>
      </c>
      <c r="J146" s="10" t="s">
        <v>284</v>
      </c>
      <c r="K146" s="3" t="s">
        <v>367</v>
      </c>
      <c r="L146" s="3"/>
      <c r="M146" s="3"/>
      <c r="N146" s="3"/>
      <c r="O146" s="3"/>
      <c r="P146" s="3"/>
      <c r="Q146" s="3"/>
      <c r="R146" s="3"/>
      <c r="S146" s="3"/>
    </row>
    <row r="147" spans="1:19" ht="90" x14ac:dyDescent="0.25">
      <c r="A147" s="3"/>
      <c r="B147" s="3">
        <v>145</v>
      </c>
      <c r="C147" s="3" t="s">
        <v>34</v>
      </c>
      <c r="D147" s="3" t="s">
        <v>36</v>
      </c>
      <c r="E147" s="40">
        <v>30</v>
      </c>
      <c r="F147" s="4">
        <v>30</v>
      </c>
      <c r="G147" s="3" t="s">
        <v>338</v>
      </c>
      <c r="H147" s="3" t="s">
        <v>339</v>
      </c>
      <c r="I147" s="3" t="s">
        <v>19</v>
      </c>
      <c r="J147" s="10" t="s">
        <v>27</v>
      </c>
      <c r="K147" s="3" t="s">
        <v>371</v>
      </c>
      <c r="L147" s="3"/>
      <c r="M147" s="3"/>
      <c r="N147" s="3"/>
      <c r="O147" s="3"/>
      <c r="P147" s="3"/>
      <c r="Q147" s="3"/>
      <c r="R147" s="3"/>
      <c r="S147" s="3"/>
    </row>
    <row r="148" spans="1:19" ht="45" x14ac:dyDescent="0.25">
      <c r="A148" s="3"/>
      <c r="B148" s="3">
        <v>146</v>
      </c>
      <c r="C148" s="3" t="s">
        <v>315</v>
      </c>
      <c r="D148" s="3" t="s">
        <v>87</v>
      </c>
      <c r="E148" s="40">
        <v>1700</v>
      </c>
      <c r="F148" s="4">
        <v>1700</v>
      </c>
      <c r="G148" s="3" t="s">
        <v>340</v>
      </c>
      <c r="H148" s="3" t="s">
        <v>81</v>
      </c>
      <c r="I148" s="3" t="s">
        <v>19</v>
      </c>
      <c r="J148" s="8" t="s">
        <v>3</v>
      </c>
      <c r="K148" s="3" t="s">
        <v>368</v>
      </c>
      <c r="L148" s="3"/>
      <c r="M148" s="3"/>
      <c r="N148" s="3"/>
      <c r="O148" s="3"/>
      <c r="P148" s="3"/>
      <c r="Q148" s="3"/>
      <c r="R148" s="3"/>
      <c r="S148" s="3"/>
    </row>
    <row r="149" spans="1:19" ht="45" x14ac:dyDescent="0.25">
      <c r="A149" s="3"/>
      <c r="B149" s="1">
        <v>147</v>
      </c>
      <c r="C149" s="3" t="s">
        <v>315</v>
      </c>
      <c r="D149" s="3" t="s">
        <v>83</v>
      </c>
      <c r="E149" s="40">
        <v>600</v>
      </c>
      <c r="F149" s="4">
        <v>600</v>
      </c>
      <c r="G149" s="3" t="s">
        <v>340</v>
      </c>
      <c r="H149" s="3" t="s">
        <v>81</v>
      </c>
      <c r="I149" s="3" t="s">
        <v>19</v>
      </c>
      <c r="J149" s="8" t="s">
        <v>3</v>
      </c>
      <c r="K149" s="3" t="s">
        <v>372</v>
      </c>
      <c r="L149" s="3"/>
      <c r="M149" s="3"/>
      <c r="N149" s="3"/>
      <c r="O149" s="3"/>
      <c r="P149" s="3"/>
      <c r="Q149" s="3"/>
      <c r="R149" s="3"/>
      <c r="S149" s="3"/>
    </row>
    <row r="150" spans="1:19" ht="45.75" x14ac:dyDescent="0.25">
      <c r="A150" s="3"/>
      <c r="B150" s="1">
        <v>148</v>
      </c>
      <c r="C150" s="3" t="s">
        <v>316</v>
      </c>
      <c r="D150" s="3" t="s">
        <v>317</v>
      </c>
      <c r="E150" s="40">
        <f>10+110+15+5+5</f>
        <v>145</v>
      </c>
      <c r="F150" s="4">
        <v>250</v>
      </c>
      <c r="G150" s="3" t="s">
        <v>340</v>
      </c>
      <c r="H150" s="3" t="s">
        <v>26</v>
      </c>
      <c r="I150" s="3" t="s">
        <v>19</v>
      </c>
      <c r="J150" s="8" t="s">
        <v>7</v>
      </c>
      <c r="K150" s="3" t="s">
        <v>373</v>
      </c>
      <c r="L150" s="3"/>
      <c r="M150" s="3"/>
      <c r="N150" s="3"/>
      <c r="O150" s="3"/>
      <c r="P150" s="3"/>
      <c r="Q150" s="3"/>
      <c r="R150" s="3"/>
      <c r="S150" s="3"/>
    </row>
    <row r="151" spans="1:19" ht="45" x14ac:dyDescent="0.2">
      <c r="A151" s="3"/>
      <c r="B151" s="3">
        <v>149</v>
      </c>
      <c r="C151" s="3" t="s">
        <v>318</v>
      </c>
      <c r="D151" s="3" t="s">
        <v>85</v>
      </c>
      <c r="E151" s="40">
        <f>2397.45+1735.44+652.65+1735.44</f>
        <v>6520.98</v>
      </c>
      <c r="F151" s="4">
        <v>50000</v>
      </c>
      <c r="G151" s="3" t="s">
        <v>340</v>
      </c>
      <c r="H151" s="3" t="s">
        <v>26</v>
      </c>
      <c r="I151" s="3" t="s">
        <v>19</v>
      </c>
      <c r="J151" s="8" t="s">
        <v>3</v>
      </c>
      <c r="K151" s="28" t="s">
        <v>369</v>
      </c>
      <c r="L151" s="3"/>
      <c r="M151" s="3"/>
      <c r="N151" s="3"/>
      <c r="O151" s="3"/>
      <c r="P151" s="3"/>
      <c r="Q151" s="3"/>
      <c r="R151" s="3"/>
      <c r="S151" s="3"/>
    </row>
    <row r="152" spans="1:19" ht="45" x14ac:dyDescent="0.25">
      <c r="A152" s="3"/>
      <c r="B152" s="3">
        <v>150</v>
      </c>
      <c r="C152" s="3" t="s">
        <v>319</v>
      </c>
      <c r="D152" s="3" t="s">
        <v>85</v>
      </c>
      <c r="E152" s="40">
        <f>9211.52 +1162.69+958.62+7308.69+3293.28+3664.5+1145.09+9006.03+8403.84+5565.93+2351.88</f>
        <v>52072.069999999992</v>
      </c>
      <c r="F152" s="4">
        <v>100000</v>
      </c>
      <c r="G152" s="3" t="s">
        <v>340</v>
      </c>
      <c r="H152" s="3" t="s">
        <v>26</v>
      </c>
      <c r="I152" s="3" t="s">
        <v>19</v>
      </c>
      <c r="J152" s="8" t="s">
        <v>3</v>
      </c>
      <c r="K152" s="3" t="s">
        <v>370</v>
      </c>
      <c r="L152" s="3"/>
      <c r="M152" s="3"/>
      <c r="N152" s="3"/>
      <c r="O152" s="3"/>
      <c r="P152" s="3"/>
      <c r="Q152" s="3"/>
      <c r="R152" s="3"/>
      <c r="S152" s="3"/>
    </row>
    <row r="153" spans="1:19" s="15" customFormat="1" ht="101.25" x14ac:dyDescent="0.25">
      <c r="A153" s="3"/>
      <c r="B153" s="1">
        <v>151</v>
      </c>
      <c r="C153" s="3" t="s">
        <v>320</v>
      </c>
      <c r="D153" s="3" t="s">
        <v>101</v>
      </c>
      <c r="E153" s="40">
        <f>25475.22+4682.99+23844.14+4241.2</f>
        <v>58243.549999999996</v>
      </c>
      <c r="F153" s="4">
        <v>64610.84</v>
      </c>
      <c r="G153" s="3" t="s">
        <v>340</v>
      </c>
      <c r="H153" s="3" t="s">
        <v>81</v>
      </c>
      <c r="I153" s="3" t="s">
        <v>19</v>
      </c>
      <c r="J153" s="10" t="s">
        <v>284</v>
      </c>
      <c r="K153" s="3" t="s">
        <v>341</v>
      </c>
      <c r="L153" s="3"/>
      <c r="M153" s="3"/>
      <c r="N153" s="3"/>
      <c r="O153" s="3"/>
      <c r="P153" s="3"/>
      <c r="Q153" s="3"/>
      <c r="R153" s="3"/>
      <c r="S153" s="3"/>
    </row>
    <row r="154" spans="1:19" ht="101.25" x14ac:dyDescent="0.25">
      <c r="A154" s="3"/>
      <c r="B154" s="1">
        <v>152</v>
      </c>
      <c r="C154" s="3" t="s">
        <v>321</v>
      </c>
      <c r="D154" s="3" t="s">
        <v>322</v>
      </c>
      <c r="E154" s="40" t="s">
        <v>429</v>
      </c>
      <c r="F154" s="4">
        <v>450</v>
      </c>
      <c r="G154" s="3" t="s">
        <v>340</v>
      </c>
      <c r="H154" s="3" t="s">
        <v>81</v>
      </c>
      <c r="I154" s="3" t="s">
        <v>19</v>
      </c>
      <c r="J154" s="10" t="s">
        <v>284</v>
      </c>
      <c r="K154" s="3" t="s">
        <v>342</v>
      </c>
      <c r="L154" s="3"/>
      <c r="M154" s="3"/>
      <c r="N154" s="3"/>
      <c r="O154" s="3"/>
      <c r="P154" s="3"/>
      <c r="Q154" s="3"/>
      <c r="R154" s="3"/>
      <c r="S154" s="3"/>
    </row>
    <row r="155" spans="1:19" ht="101.25" x14ac:dyDescent="0.25">
      <c r="A155" s="3"/>
      <c r="B155" s="3">
        <v>153</v>
      </c>
      <c r="C155" s="3" t="s">
        <v>323</v>
      </c>
      <c r="D155" s="3" t="s">
        <v>324</v>
      </c>
      <c r="E155" s="40">
        <f>2*66266.75+12013.65+11958.21+65843.25+66104.5+11792.88+11851.79+67130.25+12262.64+66995.5+12085.92</f>
        <v>470572.08999999997</v>
      </c>
      <c r="F155" s="4">
        <v>535425</v>
      </c>
      <c r="G155" s="3" t="s">
        <v>340</v>
      </c>
      <c r="H155" s="3" t="s">
        <v>81</v>
      </c>
      <c r="I155" s="3" t="s">
        <v>19</v>
      </c>
      <c r="J155" s="10" t="s">
        <v>284</v>
      </c>
      <c r="K155" s="3" t="s">
        <v>376</v>
      </c>
      <c r="L155" s="3"/>
      <c r="M155" s="3"/>
      <c r="N155" s="3"/>
      <c r="O155" s="3"/>
      <c r="P155" s="3"/>
      <c r="Q155" s="3"/>
      <c r="R155" s="3"/>
      <c r="S155" s="3"/>
    </row>
    <row r="156" spans="1:19" ht="101.25" x14ac:dyDescent="0.25">
      <c r="A156" s="3"/>
      <c r="B156" s="3">
        <v>154</v>
      </c>
      <c r="C156" s="3" t="s">
        <v>323</v>
      </c>
      <c r="D156" s="3" t="s">
        <v>325</v>
      </c>
      <c r="E156" s="40">
        <f>190931.97+34611.99+191241.44+34400.61</f>
        <v>451186.01</v>
      </c>
      <c r="F156" s="4">
        <v>514981</v>
      </c>
      <c r="G156" s="3" t="s">
        <v>340</v>
      </c>
      <c r="H156" s="3" t="s">
        <v>81</v>
      </c>
      <c r="I156" s="3" t="s">
        <v>19</v>
      </c>
      <c r="J156" s="10" t="s">
        <v>284</v>
      </c>
      <c r="K156" s="3" t="s">
        <v>375</v>
      </c>
      <c r="L156" s="3"/>
      <c r="M156" s="3"/>
      <c r="N156" s="3"/>
      <c r="O156" s="3"/>
      <c r="P156" s="3"/>
      <c r="Q156" s="3"/>
      <c r="R156" s="3"/>
      <c r="S156" s="3"/>
    </row>
    <row r="157" spans="1:19" ht="45" x14ac:dyDescent="0.25">
      <c r="A157" s="3"/>
      <c r="B157" s="1">
        <v>156</v>
      </c>
      <c r="C157" s="3" t="s">
        <v>388</v>
      </c>
      <c r="D157" s="3" t="s">
        <v>89</v>
      </c>
      <c r="E157" s="40">
        <v>304.92</v>
      </c>
      <c r="F157" s="4">
        <v>3000</v>
      </c>
      <c r="G157" s="3" t="s">
        <v>378</v>
      </c>
      <c r="H157" s="3" t="s">
        <v>26</v>
      </c>
      <c r="I157" s="3" t="s">
        <v>19</v>
      </c>
      <c r="J157" s="8" t="s">
        <v>3</v>
      </c>
      <c r="K157" s="3" t="s">
        <v>431</v>
      </c>
      <c r="L157" s="3"/>
      <c r="M157" s="3"/>
      <c r="N157" s="3"/>
      <c r="O157" s="3"/>
      <c r="P157" s="3"/>
      <c r="Q157" s="3"/>
      <c r="R157" s="3"/>
      <c r="S157" s="3"/>
    </row>
    <row r="158" spans="1:19" ht="101.25" x14ac:dyDescent="0.25">
      <c r="A158" s="3"/>
      <c r="B158" s="3">
        <v>158</v>
      </c>
      <c r="C158" s="3" t="s">
        <v>265</v>
      </c>
      <c r="D158" s="3" t="s">
        <v>389</v>
      </c>
      <c r="E158" s="40">
        <f>26795 +1920</f>
        <v>28715</v>
      </c>
      <c r="F158" s="29">
        <v>28715</v>
      </c>
      <c r="G158" s="3" t="s">
        <v>407</v>
      </c>
      <c r="H158" s="3" t="s">
        <v>81</v>
      </c>
      <c r="I158" s="3" t="s">
        <v>19</v>
      </c>
      <c r="J158" s="10" t="s">
        <v>284</v>
      </c>
      <c r="K158" s="3" t="s">
        <v>408</v>
      </c>
      <c r="L158" s="3"/>
      <c r="M158" s="3"/>
      <c r="N158" s="3"/>
      <c r="O158" s="3"/>
      <c r="P158" s="3"/>
      <c r="Q158" s="3"/>
      <c r="R158" s="3"/>
      <c r="S158" s="3"/>
    </row>
    <row r="159" spans="1:19" ht="45" x14ac:dyDescent="0.2">
      <c r="A159" s="3"/>
      <c r="B159" s="1">
        <v>159</v>
      </c>
      <c r="C159" s="3" t="s">
        <v>390</v>
      </c>
      <c r="D159" s="3" t="s">
        <v>391</v>
      </c>
      <c r="E159" s="40">
        <v>1840</v>
      </c>
      <c r="F159" s="4">
        <v>1840</v>
      </c>
      <c r="G159" s="3" t="s">
        <v>407</v>
      </c>
      <c r="H159" s="3" t="s">
        <v>81</v>
      </c>
      <c r="I159" s="3" t="s">
        <v>19</v>
      </c>
      <c r="J159" s="10" t="s">
        <v>11</v>
      </c>
      <c r="K159" s="30" t="s">
        <v>422</v>
      </c>
      <c r="L159" s="3"/>
      <c r="M159" s="3"/>
      <c r="N159" s="3"/>
      <c r="O159" s="3"/>
      <c r="P159" s="3"/>
      <c r="Q159" s="3"/>
      <c r="R159" s="3"/>
      <c r="S159" s="3"/>
    </row>
    <row r="160" spans="1:19" ht="45" x14ac:dyDescent="0.25">
      <c r="A160" s="3"/>
      <c r="B160" s="1">
        <v>160</v>
      </c>
      <c r="C160" s="3" t="s">
        <v>392</v>
      </c>
      <c r="D160" s="3" t="s">
        <v>87</v>
      </c>
      <c r="E160" s="40">
        <v>2150</v>
      </c>
      <c r="F160" s="4">
        <v>2150</v>
      </c>
      <c r="G160" s="3" t="s">
        <v>409</v>
      </c>
      <c r="H160" s="3" t="s">
        <v>81</v>
      </c>
      <c r="I160" s="3" t="s">
        <v>19</v>
      </c>
      <c r="J160" s="17" t="s">
        <v>3</v>
      </c>
      <c r="K160" s="3" t="s">
        <v>410</v>
      </c>
      <c r="L160" s="3"/>
      <c r="M160" s="3"/>
      <c r="N160" s="3"/>
      <c r="O160" s="3"/>
      <c r="P160" s="3"/>
      <c r="Q160" s="3"/>
      <c r="R160" s="3"/>
      <c r="S160" s="3"/>
    </row>
    <row r="161" spans="1:19" ht="45" x14ac:dyDescent="0.25">
      <c r="A161" s="3"/>
      <c r="B161" s="3">
        <v>161</v>
      </c>
      <c r="C161" s="3" t="s">
        <v>393</v>
      </c>
      <c r="D161" s="3" t="s">
        <v>83</v>
      </c>
      <c r="E161" s="40">
        <v>1377.5</v>
      </c>
      <c r="F161" s="4">
        <v>1377.5</v>
      </c>
      <c r="G161" s="3" t="s">
        <v>409</v>
      </c>
      <c r="H161" s="3" t="s">
        <v>81</v>
      </c>
      <c r="I161" s="3" t="s">
        <v>19</v>
      </c>
      <c r="J161" s="17" t="s">
        <v>3</v>
      </c>
      <c r="K161" s="3" t="s">
        <v>411</v>
      </c>
      <c r="L161" s="3"/>
      <c r="M161" s="3"/>
      <c r="N161" s="3"/>
      <c r="O161" s="3"/>
      <c r="P161" s="3"/>
      <c r="Q161" s="3"/>
      <c r="R161" s="3"/>
      <c r="S161" s="3"/>
    </row>
    <row r="162" spans="1:19" ht="45" x14ac:dyDescent="0.25">
      <c r="A162" s="3"/>
      <c r="B162" s="3">
        <v>162</v>
      </c>
      <c r="C162" s="3" t="s">
        <v>394</v>
      </c>
      <c r="D162" s="3" t="s">
        <v>297</v>
      </c>
      <c r="E162" s="40">
        <v>420</v>
      </c>
      <c r="F162" s="4">
        <v>420</v>
      </c>
      <c r="G162" s="3" t="s">
        <v>412</v>
      </c>
      <c r="H162" s="3" t="s">
        <v>81</v>
      </c>
      <c r="I162" s="3" t="s">
        <v>19</v>
      </c>
      <c r="J162" s="17" t="s">
        <v>3</v>
      </c>
      <c r="K162" s="3" t="s">
        <v>413</v>
      </c>
      <c r="L162" s="3"/>
      <c r="M162" s="3"/>
      <c r="N162" s="3"/>
      <c r="O162" s="3"/>
      <c r="P162" s="3"/>
      <c r="Q162" s="3"/>
      <c r="R162" s="3"/>
      <c r="S162" s="3"/>
    </row>
    <row r="163" spans="1:19" ht="45" x14ac:dyDescent="0.25">
      <c r="A163" s="3"/>
      <c r="B163" s="1">
        <v>163</v>
      </c>
      <c r="C163" s="3" t="s">
        <v>395</v>
      </c>
      <c r="D163" s="3" t="s">
        <v>396</v>
      </c>
      <c r="E163" s="40">
        <v>1250</v>
      </c>
      <c r="F163" s="4">
        <v>1250</v>
      </c>
      <c r="G163" s="3" t="s">
        <v>414</v>
      </c>
      <c r="H163" s="3" t="s">
        <v>81</v>
      </c>
      <c r="I163" s="3" t="s">
        <v>19</v>
      </c>
      <c r="J163" s="3" t="s">
        <v>11</v>
      </c>
      <c r="K163" s="3" t="s">
        <v>415</v>
      </c>
      <c r="L163" s="3"/>
      <c r="M163" s="3"/>
      <c r="N163" s="3"/>
      <c r="O163" s="3"/>
      <c r="P163" s="3"/>
      <c r="Q163" s="3"/>
      <c r="R163" s="3"/>
      <c r="S163" s="3"/>
    </row>
    <row r="164" spans="1:19" ht="22.5" x14ac:dyDescent="0.25">
      <c r="A164" s="3"/>
      <c r="B164" s="1">
        <v>164</v>
      </c>
      <c r="C164" s="3" t="s">
        <v>397</v>
      </c>
      <c r="D164" s="3" t="s">
        <v>398</v>
      </c>
      <c r="E164" s="43">
        <f>258.6+28+230.6+252+20.6+28</f>
        <v>817.80000000000007</v>
      </c>
      <c r="F164" s="4">
        <v>1289</v>
      </c>
      <c r="G164" s="3" t="s">
        <v>414</v>
      </c>
      <c r="H164" s="3" t="s">
        <v>26</v>
      </c>
      <c r="I164" s="3" t="s">
        <v>9</v>
      </c>
      <c r="J164" s="3" t="s">
        <v>416</v>
      </c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22.5" x14ac:dyDescent="0.25">
      <c r="A165" s="3"/>
      <c r="B165" s="3">
        <v>165</v>
      </c>
      <c r="C165" s="3" t="s">
        <v>263</v>
      </c>
      <c r="D165" s="3" t="s">
        <v>399</v>
      </c>
      <c r="E165" s="43">
        <f>380+300+1030+250+720+350+530+780+310+150</f>
        <v>4800</v>
      </c>
      <c r="F165" s="4">
        <v>10960</v>
      </c>
      <c r="G165" s="3" t="s">
        <v>414</v>
      </c>
      <c r="H165" s="3" t="s">
        <v>26</v>
      </c>
      <c r="I165" s="3" t="s">
        <v>9</v>
      </c>
      <c r="J165" s="3" t="s">
        <v>417</v>
      </c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45" x14ac:dyDescent="0.25">
      <c r="A166" s="3"/>
      <c r="B166" s="3">
        <v>166</v>
      </c>
      <c r="C166" s="3" t="s">
        <v>103</v>
      </c>
      <c r="D166" s="3" t="s">
        <v>104</v>
      </c>
      <c r="E166" s="40">
        <v>6480</v>
      </c>
      <c r="F166" s="4">
        <v>6480</v>
      </c>
      <c r="G166" s="3" t="s">
        <v>418</v>
      </c>
      <c r="H166" s="3" t="s">
        <v>81</v>
      </c>
      <c r="I166" s="3" t="s">
        <v>19</v>
      </c>
      <c r="J166" s="3" t="s">
        <v>3</v>
      </c>
      <c r="K166" s="3" t="s">
        <v>419</v>
      </c>
      <c r="L166" s="3"/>
      <c r="M166" s="3"/>
      <c r="N166" s="3"/>
      <c r="O166" s="3"/>
      <c r="P166" s="3"/>
      <c r="Q166" s="3"/>
      <c r="R166" s="3"/>
      <c r="S166" s="3"/>
    </row>
    <row r="167" spans="1:19" ht="45" x14ac:dyDescent="0.2">
      <c r="A167" s="3"/>
      <c r="B167" s="1">
        <v>167</v>
      </c>
      <c r="C167" s="3" t="s">
        <v>275</v>
      </c>
      <c r="D167" s="3" t="s">
        <v>83</v>
      </c>
      <c r="E167" s="40">
        <v>650</v>
      </c>
      <c r="F167" s="4">
        <v>650</v>
      </c>
      <c r="G167" s="3" t="s">
        <v>420</v>
      </c>
      <c r="H167" s="3" t="s">
        <v>81</v>
      </c>
      <c r="I167" s="3" t="s">
        <v>19</v>
      </c>
      <c r="J167" s="3" t="s">
        <v>3</v>
      </c>
      <c r="K167" s="28" t="s">
        <v>423</v>
      </c>
      <c r="L167" s="3"/>
      <c r="M167" s="3"/>
      <c r="N167" s="3"/>
      <c r="O167" s="3"/>
      <c r="P167" s="3"/>
      <c r="Q167" s="3"/>
      <c r="R167" s="3"/>
      <c r="S167" s="3"/>
    </row>
    <row r="168" spans="1:19" ht="45" x14ac:dyDescent="0.15">
      <c r="A168" s="3"/>
      <c r="B168" s="1">
        <v>168</v>
      </c>
      <c r="C168" s="3" t="s">
        <v>169</v>
      </c>
      <c r="D168" s="3" t="s">
        <v>87</v>
      </c>
      <c r="E168" s="40">
        <v>1300</v>
      </c>
      <c r="F168" s="4">
        <v>1300</v>
      </c>
      <c r="G168" s="3" t="s">
        <v>420</v>
      </c>
      <c r="H168" s="3" t="s">
        <v>81</v>
      </c>
      <c r="I168" s="3" t="s">
        <v>19</v>
      </c>
      <c r="J168" s="3" t="s">
        <v>3</v>
      </c>
      <c r="K168" s="31" t="s">
        <v>426</v>
      </c>
      <c r="L168" s="3"/>
      <c r="M168" s="3"/>
      <c r="N168" s="3"/>
      <c r="O168" s="3"/>
      <c r="P168" s="3"/>
      <c r="Q168" s="3"/>
      <c r="R168" s="3"/>
      <c r="S168" s="3"/>
    </row>
    <row r="169" spans="1:19" ht="45" x14ac:dyDescent="0.25">
      <c r="A169" s="3"/>
      <c r="B169" s="3">
        <v>169</v>
      </c>
      <c r="C169" s="3" t="s">
        <v>400</v>
      </c>
      <c r="D169" s="3" t="s">
        <v>85</v>
      </c>
      <c r="E169" s="40">
        <v>2246</v>
      </c>
      <c r="F169" s="4">
        <v>2246</v>
      </c>
      <c r="G169" s="3" t="s">
        <v>420</v>
      </c>
      <c r="H169" s="3" t="s">
        <v>81</v>
      </c>
      <c r="I169" s="3" t="s">
        <v>19</v>
      </c>
      <c r="J169" s="3" t="s">
        <v>3</v>
      </c>
      <c r="K169" s="3" t="s">
        <v>432</v>
      </c>
      <c r="L169" s="3"/>
      <c r="M169" s="3"/>
      <c r="N169" s="3"/>
      <c r="O169" s="3"/>
      <c r="P169" s="3"/>
      <c r="Q169" s="3"/>
      <c r="R169" s="3"/>
      <c r="S169" s="3"/>
    </row>
    <row r="170" spans="1:19" ht="45" x14ac:dyDescent="0.25">
      <c r="A170" s="3"/>
      <c r="B170" s="3">
        <v>170</v>
      </c>
      <c r="C170" s="3" t="s">
        <v>49</v>
      </c>
      <c r="D170" s="3" t="s">
        <v>401</v>
      </c>
      <c r="E170" s="40">
        <v>1115</v>
      </c>
      <c r="F170" s="4">
        <v>1115</v>
      </c>
      <c r="G170" s="3" t="s">
        <v>421</v>
      </c>
      <c r="H170" s="3" t="s">
        <v>81</v>
      </c>
      <c r="I170" s="3" t="s">
        <v>19</v>
      </c>
      <c r="J170" s="3" t="s">
        <v>11</v>
      </c>
      <c r="K170" s="3" t="s">
        <v>433</v>
      </c>
      <c r="L170" s="3"/>
      <c r="M170" s="3"/>
      <c r="N170" s="3"/>
      <c r="O170" s="3"/>
      <c r="P170" s="3"/>
      <c r="Q170" s="3"/>
      <c r="R170" s="3"/>
      <c r="S170" s="3"/>
    </row>
    <row r="171" spans="1:19" ht="45" x14ac:dyDescent="0.25">
      <c r="A171" s="3"/>
      <c r="B171" s="1">
        <v>171</v>
      </c>
      <c r="C171" s="3" t="s">
        <v>86</v>
      </c>
      <c r="D171" s="3" t="s">
        <v>87</v>
      </c>
      <c r="E171" s="40">
        <v>1500</v>
      </c>
      <c r="F171" s="4">
        <v>1500</v>
      </c>
      <c r="G171" s="3" t="s">
        <v>421</v>
      </c>
      <c r="H171" s="3" t="s">
        <v>81</v>
      </c>
      <c r="I171" s="3" t="s">
        <v>19</v>
      </c>
      <c r="J171" s="3" t="s">
        <v>3</v>
      </c>
      <c r="K171" s="3" t="s">
        <v>427</v>
      </c>
      <c r="L171" s="3"/>
      <c r="M171" s="3"/>
      <c r="N171" s="3"/>
      <c r="O171" s="3"/>
      <c r="P171" s="3"/>
      <c r="Q171" s="3"/>
      <c r="R171" s="3"/>
      <c r="S171" s="3"/>
    </row>
    <row r="172" spans="1:19" ht="45" x14ac:dyDescent="0.25">
      <c r="A172" s="3"/>
      <c r="B172" s="1">
        <v>172</v>
      </c>
      <c r="C172" s="3" t="s">
        <v>402</v>
      </c>
      <c r="D172" s="3" t="s">
        <v>89</v>
      </c>
      <c r="E172" s="40">
        <f>1118.7+59.4+312.4+213.4+1548.8+1000+103.4</f>
        <v>4356.0999999999995</v>
      </c>
      <c r="F172" s="4">
        <v>7000</v>
      </c>
      <c r="G172" s="3" t="s">
        <v>421</v>
      </c>
      <c r="H172" s="3" t="s">
        <v>26</v>
      </c>
      <c r="I172" s="3" t="s">
        <v>19</v>
      </c>
      <c r="J172" s="3" t="s">
        <v>3</v>
      </c>
      <c r="K172" s="3" t="s">
        <v>424</v>
      </c>
      <c r="L172" s="3"/>
      <c r="M172" s="3"/>
      <c r="N172" s="3"/>
      <c r="O172" s="3"/>
      <c r="P172" s="3"/>
      <c r="Q172" s="3"/>
      <c r="R172" s="3"/>
      <c r="S172" s="3"/>
    </row>
    <row r="173" spans="1:19" ht="45" x14ac:dyDescent="0.2">
      <c r="A173" s="3"/>
      <c r="B173" s="3">
        <v>173</v>
      </c>
      <c r="C173" s="3" t="s">
        <v>403</v>
      </c>
      <c r="D173" s="3" t="s">
        <v>89</v>
      </c>
      <c r="E173" s="40">
        <v>663.17</v>
      </c>
      <c r="F173" s="4">
        <v>950</v>
      </c>
      <c r="G173" s="3" t="s">
        <v>421</v>
      </c>
      <c r="H173" s="3" t="s">
        <v>81</v>
      </c>
      <c r="I173" s="3" t="s">
        <v>19</v>
      </c>
      <c r="J173" s="3" t="s">
        <v>3</v>
      </c>
      <c r="K173" s="28" t="s">
        <v>434</v>
      </c>
      <c r="L173" s="3"/>
      <c r="M173" s="3"/>
      <c r="N173" s="3"/>
      <c r="O173" s="3"/>
      <c r="P173" s="3"/>
      <c r="Q173" s="3"/>
      <c r="R173" s="3"/>
      <c r="S173" s="3"/>
    </row>
    <row r="174" spans="1:19" ht="45" x14ac:dyDescent="0.25">
      <c r="A174" s="3"/>
      <c r="B174" s="3">
        <v>174</v>
      </c>
      <c r="C174" s="3" t="s">
        <v>404</v>
      </c>
      <c r="D174" s="3" t="s">
        <v>89</v>
      </c>
      <c r="E174" s="40">
        <v>2250</v>
      </c>
      <c r="F174" s="4">
        <v>2280</v>
      </c>
      <c r="G174" s="3" t="s">
        <v>421</v>
      </c>
      <c r="H174" s="3" t="s">
        <v>81</v>
      </c>
      <c r="I174" s="3" t="s">
        <v>19</v>
      </c>
      <c r="J174" s="3" t="s">
        <v>3</v>
      </c>
      <c r="K174" s="3" t="s">
        <v>435</v>
      </c>
      <c r="L174" s="3"/>
      <c r="M174" s="3"/>
      <c r="N174" s="3"/>
      <c r="O174" s="3"/>
      <c r="P174" s="3"/>
      <c r="Q174" s="3"/>
      <c r="R174" s="3"/>
      <c r="S174" s="3"/>
    </row>
    <row r="175" spans="1:19" ht="45" x14ac:dyDescent="0.25">
      <c r="A175" s="3"/>
      <c r="B175" s="1">
        <v>175</v>
      </c>
      <c r="C175" s="3" t="s">
        <v>405</v>
      </c>
      <c r="D175" s="3" t="s">
        <v>85</v>
      </c>
      <c r="E175" s="40">
        <v>990</v>
      </c>
      <c r="F175" s="4">
        <v>990</v>
      </c>
      <c r="G175" s="3" t="s">
        <v>421</v>
      </c>
      <c r="H175" s="3" t="s">
        <v>81</v>
      </c>
      <c r="I175" s="3" t="s">
        <v>19</v>
      </c>
      <c r="J175" s="3" t="s">
        <v>3</v>
      </c>
      <c r="K175" s="3" t="s">
        <v>436</v>
      </c>
      <c r="L175" s="3"/>
      <c r="M175" s="3"/>
      <c r="N175" s="3"/>
      <c r="O175" s="3"/>
      <c r="P175" s="3"/>
      <c r="Q175" s="3"/>
      <c r="R175" s="3"/>
      <c r="S175" s="3"/>
    </row>
    <row r="176" spans="1:19" ht="45" x14ac:dyDescent="0.25">
      <c r="A176" s="3"/>
      <c r="B176" s="1">
        <v>176</v>
      </c>
      <c r="C176" s="3" t="s">
        <v>275</v>
      </c>
      <c r="D176" s="3" t="s">
        <v>87</v>
      </c>
      <c r="E176" s="40" t="s">
        <v>2777</v>
      </c>
      <c r="F176" s="4">
        <v>3880</v>
      </c>
      <c r="G176" s="3" t="s">
        <v>421</v>
      </c>
      <c r="H176" s="3" t="s">
        <v>81</v>
      </c>
      <c r="I176" s="3" t="s">
        <v>19</v>
      </c>
      <c r="J176" s="3" t="s">
        <v>3</v>
      </c>
      <c r="K176" s="3" t="s">
        <v>437</v>
      </c>
      <c r="L176" s="3"/>
      <c r="M176" s="3"/>
      <c r="N176" s="3"/>
      <c r="O176" s="3"/>
      <c r="P176" s="3"/>
      <c r="Q176" s="3"/>
      <c r="R176" s="3"/>
      <c r="S176" s="3"/>
    </row>
    <row r="177" spans="1:19" ht="45" x14ac:dyDescent="0.25">
      <c r="A177" s="3"/>
      <c r="B177" s="3">
        <v>177</v>
      </c>
      <c r="C177" s="3" t="s">
        <v>275</v>
      </c>
      <c r="D177" s="3" t="s">
        <v>83</v>
      </c>
      <c r="E177" s="40">
        <v>2000</v>
      </c>
      <c r="F177" s="4">
        <v>2000</v>
      </c>
      <c r="G177" s="3" t="s">
        <v>421</v>
      </c>
      <c r="H177" s="3" t="s">
        <v>81</v>
      </c>
      <c r="I177" s="3" t="s">
        <v>19</v>
      </c>
      <c r="J177" s="3" t="s">
        <v>3</v>
      </c>
      <c r="K177" s="3" t="s">
        <v>438</v>
      </c>
      <c r="L177" s="3"/>
      <c r="M177" s="3"/>
      <c r="N177" s="3"/>
      <c r="O177" s="3"/>
      <c r="P177" s="3"/>
      <c r="Q177" s="3"/>
      <c r="R177" s="3"/>
      <c r="S177" s="3"/>
    </row>
    <row r="178" spans="1:19" ht="45" x14ac:dyDescent="0.25">
      <c r="A178" s="3"/>
      <c r="B178" s="3">
        <v>178</v>
      </c>
      <c r="C178" s="3" t="s">
        <v>406</v>
      </c>
      <c r="D178" s="3" t="s">
        <v>85</v>
      </c>
      <c r="E178" s="40">
        <v>799.98</v>
      </c>
      <c r="F178" s="4">
        <v>1248.6600000000001</v>
      </c>
      <c r="G178" s="3" t="s">
        <v>421</v>
      </c>
      <c r="H178" s="3" t="s">
        <v>81</v>
      </c>
      <c r="I178" s="3" t="s">
        <v>19</v>
      </c>
      <c r="J178" s="3" t="s">
        <v>3</v>
      </c>
      <c r="K178" s="3" t="s">
        <v>439</v>
      </c>
      <c r="L178" s="3"/>
      <c r="M178" s="3"/>
      <c r="N178" s="3"/>
      <c r="O178" s="3"/>
      <c r="P178" s="3"/>
      <c r="Q178" s="3"/>
      <c r="R178" s="3"/>
      <c r="S178" s="3"/>
    </row>
    <row r="179" spans="1:19" ht="45" x14ac:dyDescent="0.25">
      <c r="A179" s="3"/>
      <c r="B179" s="1">
        <v>179</v>
      </c>
      <c r="C179" s="3" t="s">
        <v>400</v>
      </c>
      <c r="D179" s="3" t="s">
        <v>85</v>
      </c>
      <c r="E179" s="40">
        <v>1248.6600000000001</v>
      </c>
      <c r="F179" s="4">
        <v>1300</v>
      </c>
      <c r="G179" s="3" t="s">
        <v>421</v>
      </c>
      <c r="H179" s="3" t="s">
        <v>81</v>
      </c>
      <c r="I179" s="3" t="s">
        <v>19</v>
      </c>
      <c r="J179" s="3" t="s">
        <v>3</v>
      </c>
      <c r="K179" s="3" t="s">
        <v>440</v>
      </c>
      <c r="L179" s="3"/>
      <c r="M179" s="3"/>
      <c r="N179" s="3"/>
      <c r="O179" s="3"/>
      <c r="P179" s="3"/>
      <c r="Q179" s="3"/>
      <c r="R179" s="3"/>
      <c r="S179" s="3"/>
    </row>
    <row r="180" spans="1:19" ht="45" x14ac:dyDescent="0.25">
      <c r="A180" s="3"/>
      <c r="B180" s="3">
        <v>181</v>
      </c>
      <c r="C180" s="3" t="s">
        <v>441</v>
      </c>
      <c r="D180" s="3" t="s">
        <v>456</v>
      </c>
      <c r="E180" s="40" t="s">
        <v>510</v>
      </c>
      <c r="F180" s="4">
        <v>130</v>
      </c>
      <c r="G180" s="3" t="s">
        <v>467</v>
      </c>
      <c r="H180" s="3" t="s">
        <v>81</v>
      </c>
      <c r="I180" s="3" t="s">
        <v>19</v>
      </c>
      <c r="J180" s="10" t="s">
        <v>11</v>
      </c>
      <c r="K180" s="3" t="s">
        <v>509</v>
      </c>
      <c r="L180" s="3"/>
      <c r="M180" s="3"/>
      <c r="N180" s="3"/>
      <c r="O180" s="3"/>
      <c r="P180" s="3"/>
      <c r="Q180" s="3"/>
      <c r="R180" s="3"/>
      <c r="S180" s="3"/>
    </row>
    <row r="181" spans="1:19" ht="101.25" x14ac:dyDescent="0.25">
      <c r="A181" s="3"/>
      <c r="B181" s="3">
        <v>182</v>
      </c>
      <c r="C181" s="3" t="s">
        <v>442</v>
      </c>
      <c r="D181" s="3" t="s">
        <v>457</v>
      </c>
      <c r="E181" s="40">
        <v>4519.9799999999996</v>
      </c>
      <c r="F181" s="4">
        <v>4860</v>
      </c>
      <c r="G181" s="3" t="s">
        <v>468</v>
      </c>
      <c r="H181" s="3" t="s">
        <v>81</v>
      </c>
      <c r="I181" s="3" t="s">
        <v>19</v>
      </c>
      <c r="J181" s="10" t="s">
        <v>284</v>
      </c>
      <c r="K181" s="3" t="s">
        <v>469</v>
      </c>
      <c r="L181" s="3"/>
      <c r="M181" s="3"/>
      <c r="N181" s="3"/>
      <c r="O181" s="3"/>
      <c r="P181" s="3"/>
      <c r="Q181" s="3"/>
      <c r="R181" s="3"/>
      <c r="S181" s="3"/>
    </row>
    <row r="182" spans="1:19" ht="45" x14ac:dyDescent="0.25">
      <c r="A182" s="3"/>
      <c r="B182" s="1">
        <v>183</v>
      </c>
      <c r="C182" s="3" t="s">
        <v>443</v>
      </c>
      <c r="D182" s="3" t="s">
        <v>458</v>
      </c>
      <c r="E182" s="40">
        <v>40</v>
      </c>
      <c r="F182" s="4">
        <v>40</v>
      </c>
      <c r="G182" s="3" t="s">
        <v>468</v>
      </c>
      <c r="H182" s="3" t="s">
        <v>81</v>
      </c>
      <c r="I182" s="3" t="s">
        <v>19</v>
      </c>
      <c r="J182" s="10" t="s">
        <v>11</v>
      </c>
      <c r="K182" s="3" t="s">
        <v>486</v>
      </c>
      <c r="L182" s="3"/>
      <c r="M182" s="3"/>
      <c r="N182" s="3"/>
      <c r="O182" s="3"/>
      <c r="P182" s="3"/>
      <c r="Q182" s="3"/>
      <c r="R182" s="3"/>
      <c r="S182" s="3"/>
    </row>
    <row r="183" spans="1:19" s="15" customFormat="1" ht="45" x14ac:dyDescent="0.25">
      <c r="A183" s="3"/>
      <c r="B183" s="1">
        <v>184</v>
      </c>
      <c r="C183" s="3" t="s">
        <v>444</v>
      </c>
      <c r="D183" s="3" t="s">
        <v>87</v>
      </c>
      <c r="E183" s="40" t="s">
        <v>2778</v>
      </c>
      <c r="F183" s="4">
        <v>2050</v>
      </c>
      <c r="G183" s="3" t="s">
        <v>470</v>
      </c>
      <c r="H183" s="3" t="s">
        <v>81</v>
      </c>
      <c r="I183" s="3" t="s">
        <v>19</v>
      </c>
      <c r="J183" s="3" t="s">
        <v>3</v>
      </c>
      <c r="K183" s="3" t="s">
        <v>471</v>
      </c>
      <c r="L183" s="3"/>
      <c r="M183" s="3"/>
      <c r="N183" s="3"/>
      <c r="O183" s="3"/>
      <c r="P183" s="3"/>
      <c r="Q183" s="3"/>
      <c r="R183" s="3"/>
      <c r="S183" s="3"/>
    </row>
    <row r="184" spans="1:19" ht="45" x14ac:dyDescent="0.25">
      <c r="A184" s="3"/>
      <c r="B184" s="3">
        <v>185</v>
      </c>
      <c r="C184" s="3" t="s">
        <v>393</v>
      </c>
      <c r="D184" s="3" t="s">
        <v>83</v>
      </c>
      <c r="E184" s="40">
        <v>1749.5</v>
      </c>
      <c r="F184" s="4">
        <v>1749.5</v>
      </c>
      <c r="G184" s="3" t="s">
        <v>470</v>
      </c>
      <c r="H184" s="3" t="s">
        <v>81</v>
      </c>
      <c r="I184" s="3" t="s">
        <v>19</v>
      </c>
      <c r="J184" s="3" t="s">
        <v>3</v>
      </c>
      <c r="K184" s="3" t="s">
        <v>472</v>
      </c>
      <c r="L184" s="3"/>
      <c r="M184" s="3"/>
      <c r="N184" s="3"/>
      <c r="O184" s="3"/>
      <c r="P184" s="3"/>
      <c r="Q184" s="3"/>
      <c r="R184" s="3"/>
      <c r="S184" s="3"/>
    </row>
    <row r="185" spans="1:19" ht="101.25" x14ac:dyDescent="0.25">
      <c r="A185" s="3"/>
      <c r="B185" s="3">
        <v>186</v>
      </c>
      <c r="C185" s="3" t="s">
        <v>445</v>
      </c>
      <c r="D185" s="3" t="s">
        <v>459</v>
      </c>
      <c r="E185" s="40">
        <v>869.75</v>
      </c>
      <c r="F185" s="4">
        <v>936.36</v>
      </c>
      <c r="G185" s="3" t="s">
        <v>470</v>
      </c>
      <c r="H185" s="3" t="s">
        <v>81</v>
      </c>
      <c r="I185" s="3" t="s">
        <v>19</v>
      </c>
      <c r="J185" s="10" t="s">
        <v>284</v>
      </c>
      <c r="K185" s="3" t="s">
        <v>473</v>
      </c>
      <c r="L185" s="3"/>
      <c r="M185" s="3"/>
      <c r="N185" s="3"/>
      <c r="O185" s="3"/>
      <c r="P185" s="3"/>
      <c r="Q185" s="3"/>
      <c r="R185" s="3"/>
      <c r="S185" s="3"/>
    </row>
    <row r="186" spans="1:19" ht="45" x14ac:dyDescent="0.25">
      <c r="A186" s="3"/>
      <c r="B186" s="1">
        <v>187</v>
      </c>
      <c r="C186" s="3" t="s">
        <v>446</v>
      </c>
      <c r="D186" s="3" t="s">
        <v>460</v>
      </c>
      <c r="E186" s="40">
        <v>840</v>
      </c>
      <c r="F186" s="4">
        <v>840</v>
      </c>
      <c r="G186" s="3" t="s">
        <v>474</v>
      </c>
      <c r="H186" s="3" t="s">
        <v>81</v>
      </c>
      <c r="I186" s="3" t="s">
        <v>19</v>
      </c>
      <c r="J186" s="10" t="s">
        <v>11</v>
      </c>
      <c r="K186" s="3" t="s">
        <v>518</v>
      </c>
      <c r="L186" s="3"/>
      <c r="M186" s="3"/>
      <c r="N186" s="3"/>
      <c r="O186" s="3"/>
      <c r="P186" s="3"/>
      <c r="Q186" s="3"/>
      <c r="R186" s="3"/>
      <c r="S186" s="3"/>
    </row>
    <row r="187" spans="1:19" ht="33.75" x14ac:dyDescent="0.25">
      <c r="A187" s="3"/>
      <c r="B187" s="1">
        <v>188</v>
      </c>
      <c r="C187" s="3" t="s">
        <v>447</v>
      </c>
      <c r="D187" s="3" t="s">
        <v>461</v>
      </c>
      <c r="E187" s="43">
        <f>3075+9925</f>
        <v>13000</v>
      </c>
      <c r="F187" s="4">
        <v>13000</v>
      </c>
      <c r="G187" s="3" t="s">
        <v>475</v>
      </c>
      <c r="H187" s="3" t="s">
        <v>26</v>
      </c>
      <c r="I187" s="3" t="s">
        <v>9</v>
      </c>
      <c r="J187" s="17" t="s">
        <v>476</v>
      </c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45" x14ac:dyDescent="0.25">
      <c r="A188" s="3"/>
      <c r="B188" s="3">
        <v>189</v>
      </c>
      <c r="C188" s="3" t="s">
        <v>448</v>
      </c>
      <c r="D188" s="3" t="s">
        <v>89</v>
      </c>
      <c r="E188" s="40">
        <v>150</v>
      </c>
      <c r="F188" s="4">
        <v>150</v>
      </c>
      <c r="G188" s="3" t="s">
        <v>475</v>
      </c>
      <c r="H188" s="3" t="s">
        <v>81</v>
      </c>
      <c r="I188" s="3" t="s">
        <v>19</v>
      </c>
      <c r="J188" s="3" t="s">
        <v>3</v>
      </c>
      <c r="K188" s="3" t="s">
        <v>477</v>
      </c>
      <c r="L188" s="3"/>
      <c r="M188" s="3"/>
      <c r="N188" s="3"/>
      <c r="O188" s="3"/>
      <c r="P188" s="3"/>
      <c r="Q188" s="3"/>
      <c r="R188" s="3"/>
      <c r="S188" s="3"/>
    </row>
    <row r="189" spans="1:19" ht="45" x14ac:dyDescent="0.25">
      <c r="A189" s="3"/>
      <c r="B189" s="3">
        <v>190</v>
      </c>
      <c r="C189" s="3" t="s">
        <v>122</v>
      </c>
      <c r="D189" s="3" t="s">
        <v>85</v>
      </c>
      <c r="E189" s="40">
        <v>520.28</v>
      </c>
      <c r="F189" s="4">
        <v>520.28</v>
      </c>
      <c r="G189" s="3" t="s">
        <v>475</v>
      </c>
      <c r="H189" s="3" t="s">
        <v>81</v>
      </c>
      <c r="I189" s="3" t="s">
        <v>19</v>
      </c>
      <c r="J189" s="3" t="s">
        <v>3</v>
      </c>
      <c r="K189" s="3" t="s">
        <v>478</v>
      </c>
      <c r="L189" s="3"/>
      <c r="M189" s="3"/>
      <c r="N189" s="3"/>
      <c r="O189" s="3"/>
      <c r="P189" s="3"/>
      <c r="Q189" s="3"/>
      <c r="R189" s="3"/>
      <c r="S189" s="3"/>
    </row>
    <row r="190" spans="1:19" ht="45" x14ac:dyDescent="0.25">
      <c r="A190" s="3"/>
      <c r="B190" s="1">
        <v>191</v>
      </c>
      <c r="C190" s="3" t="s">
        <v>449</v>
      </c>
      <c r="D190" s="3" t="s">
        <v>85</v>
      </c>
      <c r="E190" s="40">
        <f>800+200+200+100+500+700+600</f>
        <v>3100</v>
      </c>
      <c r="F190" s="4">
        <v>10000</v>
      </c>
      <c r="G190" s="3" t="s">
        <v>475</v>
      </c>
      <c r="H190" s="3" t="s">
        <v>26</v>
      </c>
      <c r="I190" s="3" t="s">
        <v>19</v>
      </c>
      <c r="J190" s="3" t="s">
        <v>3</v>
      </c>
      <c r="K190" s="3" t="s">
        <v>479</v>
      </c>
      <c r="L190" s="3"/>
      <c r="M190" s="3"/>
      <c r="N190" s="3"/>
      <c r="O190" s="3"/>
      <c r="P190" s="3"/>
      <c r="Q190" s="3"/>
      <c r="R190" s="3"/>
      <c r="S190" s="3"/>
    </row>
    <row r="191" spans="1:19" ht="45" x14ac:dyDescent="0.25">
      <c r="A191" s="3"/>
      <c r="B191" s="1">
        <v>192</v>
      </c>
      <c r="C191" s="3" t="s">
        <v>402</v>
      </c>
      <c r="D191" s="3" t="s">
        <v>85</v>
      </c>
      <c r="E191" s="40">
        <f>157.25+1117.75+314.5+1462+365.5+157.25+1100.75</f>
        <v>4675</v>
      </c>
      <c r="F191" s="4">
        <v>50000</v>
      </c>
      <c r="G191" s="3" t="s">
        <v>475</v>
      </c>
      <c r="H191" s="3" t="s">
        <v>26</v>
      </c>
      <c r="I191" s="3" t="s">
        <v>19</v>
      </c>
      <c r="J191" s="3" t="s">
        <v>3</v>
      </c>
      <c r="K191" s="3" t="s">
        <v>512</v>
      </c>
      <c r="L191" s="3"/>
      <c r="M191" s="3"/>
      <c r="N191" s="3"/>
      <c r="O191" s="3"/>
      <c r="P191" s="3"/>
      <c r="Q191" s="3"/>
      <c r="R191" s="3"/>
      <c r="S191" s="3"/>
    </row>
    <row r="192" spans="1:19" ht="45" x14ac:dyDescent="0.25">
      <c r="A192" s="3"/>
      <c r="B192" s="3">
        <v>193</v>
      </c>
      <c r="C192" s="3" t="s">
        <v>450</v>
      </c>
      <c r="D192" s="3" t="s">
        <v>462</v>
      </c>
      <c r="E192" s="40" t="s">
        <v>515</v>
      </c>
      <c r="F192" s="4">
        <v>30</v>
      </c>
      <c r="G192" s="3" t="s">
        <v>475</v>
      </c>
      <c r="H192" s="3" t="s">
        <v>81</v>
      </c>
      <c r="I192" s="3" t="s">
        <v>19</v>
      </c>
      <c r="J192" s="10" t="s">
        <v>11</v>
      </c>
      <c r="K192" s="3" t="s">
        <v>513</v>
      </c>
      <c r="L192" s="3"/>
      <c r="M192" s="3"/>
      <c r="N192" s="3"/>
      <c r="O192" s="3"/>
      <c r="P192" s="3"/>
      <c r="Q192" s="3"/>
      <c r="R192" s="3"/>
      <c r="S192" s="3"/>
    </row>
    <row r="193" spans="1:19" ht="101.25" x14ac:dyDescent="0.25">
      <c r="A193" s="3"/>
      <c r="B193" s="3">
        <v>194</v>
      </c>
      <c r="C193" s="3" t="s">
        <v>451</v>
      </c>
      <c r="D193" s="3" t="s">
        <v>463</v>
      </c>
      <c r="E193" s="40">
        <v>92880.24</v>
      </c>
      <c r="F193" s="4">
        <v>100340</v>
      </c>
      <c r="G193" s="3" t="s">
        <v>475</v>
      </c>
      <c r="H193" s="3" t="s">
        <v>81</v>
      </c>
      <c r="I193" s="3" t="s">
        <v>19</v>
      </c>
      <c r="J193" s="10" t="s">
        <v>284</v>
      </c>
      <c r="K193" s="3" t="s">
        <v>480</v>
      </c>
      <c r="L193" s="3"/>
      <c r="M193" s="3"/>
      <c r="N193" s="3"/>
      <c r="O193" s="3"/>
      <c r="P193" s="3"/>
      <c r="Q193" s="3"/>
      <c r="R193" s="3"/>
      <c r="S193" s="3"/>
    </row>
    <row r="194" spans="1:19" ht="45" x14ac:dyDescent="0.25">
      <c r="A194" s="3"/>
      <c r="B194" s="1">
        <v>195</v>
      </c>
      <c r="C194" s="3" t="s">
        <v>452</v>
      </c>
      <c r="D194" s="3" t="s">
        <v>83</v>
      </c>
      <c r="E194" s="40">
        <v>950</v>
      </c>
      <c r="F194" s="4">
        <v>950</v>
      </c>
      <c r="G194" s="3" t="s">
        <v>481</v>
      </c>
      <c r="H194" s="3" t="s">
        <v>81</v>
      </c>
      <c r="I194" s="3" t="s">
        <v>19</v>
      </c>
      <c r="J194" s="8" t="s">
        <v>3</v>
      </c>
      <c r="K194" s="3" t="s">
        <v>511</v>
      </c>
      <c r="L194" s="3"/>
      <c r="M194" s="3"/>
      <c r="N194" s="3"/>
      <c r="O194" s="3"/>
      <c r="P194" s="3"/>
      <c r="Q194" s="3"/>
      <c r="R194" s="3"/>
      <c r="S194" s="3"/>
    </row>
    <row r="195" spans="1:19" ht="67.5" x14ac:dyDescent="0.25">
      <c r="A195" s="3"/>
      <c r="B195" s="1">
        <v>196</v>
      </c>
      <c r="C195" s="3" t="s">
        <v>453</v>
      </c>
      <c r="D195" s="3" t="s">
        <v>464</v>
      </c>
      <c r="E195" s="41">
        <f>10007.54+54693.34+4770.15</f>
        <v>69471.03</v>
      </c>
      <c r="F195" s="4">
        <v>85758.73</v>
      </c>
      <c r="G195" s="3" t="s">
        <v>481</v>
      </c>
      <c r="H195" s="3" t="s">
        <v>81</v>
      </c>
      <c r="I195" s="3" t="s">
        <v>12</v>
      </c>
      <c r="J195" s="10" t="s">
        <v>482</v>
      </c>
      <c r="K195" s="3"/>
      <c r="L195" s="3"/>
      <c r="M195" s="3"/>
      <c r="N195" s="3"/>
      <c r="O195" s="3"/>
      <c r="P195" s="3"/>
      <c r="Q195" s="3"/>
      <c r="R195" s="3"/>
      <c r="S195" s="3"/>
    </row>
    <row r="196" spans="1:19" ht="101.25" x14ac:dyDescent="0.25">
      <c r="A196" s="3"/>
      <c r="B196" s="3">
        <v>197</v>
      </c>
      <c r="C196" s="3" t="s">
        <v>454</v>
      </c>
      <c r="D196" s="3" t="s">
        <v>465</v>
      </c>
      <c r="E196" s="40">
        <f>2672+468.05</f>
        <v>3140.05</v>
      </c>
      <c r="F196" s="4">
        <v>3422</v>
      </c>
      <c r="G196" s="3" t="s">
        <v>481</v>
      </c>
      <c r="H196" s="3" t="s">
        <v>483</v>
      </c>
      <c r="I196" s="3" t="s">
        <v>19</v>
      </c>
      <c r="J196" s="10" t="s">
        <v>284</v>
      </c>
      <c r="K196" s="3" t="s">
        <v>519</v>
      </c>
      <c r="L196" s="3"/>
      <c r="M196" s="3"/>
      <c r="N196" s="3"/>
      <c r="O196" s="3"/>
      <c r="P196" s="3"/>
      <c r="Q196" s="3"/>
      <c r="R196" s="3"/>
      <c r="S196" s="3"/>
    </row>
    <row r="197" spans="1:19" ht="45" x14ac:dyDescent="0.25">
      <c r="A197" s="3"/>
      <c r="B197" s="3">
        <v>198</v>
      </c>
      <c r="C197" s="3" t="s">
        <v>86</v>
      </c>
      <c r="D197" s="3" t="s">
        <v>87</v>
      </c>
      <c r="E197" s="40">
        <v>1400</v>
      </c>
      <c r="F197" s="4">
        <v>1400</v>
      </c>
      <c r="G197" s="3" t="s">
        <v>484</v>
      </c>
      <c r="H197" s="3" t="s">
        <v>81</v>
      </c>
      <c r="I197" s="3" t="s">
        <v>19</v>
      </c>
      <c r="J197" s="8" t="s">
        <v>3</v>
      </c>
      <c r="K197" s="3" t="s">
        <v>520</v>
      </c>
      <c r="L197" s="3"/>
      <c r="M197" s="3"/>
      <c r="N197" s="3"/>
      <c r="O197" s="3"/>
      <c r="P197" s="3"/>
      <c r="Q197" s="3"/>
      <c r="R197" s="3"/>
      <c r="S197" s="3"/>
    </row>
    <row r="198" spans="1:19" ht="45" x14ac:dyDescent="0.25">
      <c r="A198" s="3"/>
      <c r="B198" s="1">
        <v>199</v>
      </c>
      <c r="C198" s="3" t="s">
        <v>192</v>
      </c>
      <c r="D198" s="3" t="s">
        <v>193</v>
      </c>
      <c r="E198" s="40">
        <v>150</v>
      </c>
      <c r="F198" s="4">
        <v>150</v>
      </c>
      <c r="G198" s="3" t="s">
        <v>485</v>
      </c>
      <c r="H198" s="3" t="s">
        <v>81</v>
      </c>
      <c r="I198" s="3" t="s">
        <v>19</v>
      </c>
      <c r="J198" s="10" t="s">
        <v>11</v>
      </c>
      <c r="K198" s="3" t="s">
        <v>516</v>
      </c>
      <c r="L198" s="3"/>
      <c r="M198" s="3"/>
      <c r="N198" s="3"/>
      <c r="O198" s="3"/>
      <c r="P198" s="3"/>
      <c r="Q198" s="3"/>
      <c r="R198" s="3"/>
      <c r="S198" s="3"/>
    </row>
    <row r="199" spans="1:19" ht="45" x14ac:dyDescent="0.25">
      <c r="A199" s="3"/>
      <c r="B199" s="1">
        <v>200</v>
      </c>
      <c r="C199" s="3" t="s">
        <v>107</v>
      </c>
      <c r="D199" s="3" t="s">
        <v>108</v>
      </c>
      <c r="E199" s="40">
        <v>95.57</v>
      </c>
      <c r="F199" s="4">
        <v>95.57</v>
      </c>
      <c r="G199" s="3" t="s">
        <v>485</v>
      </c>
      <c r="H199" s="3" t="s">
        <v>81</v>
      </c>
      <c r="I199" s="3" t="s">
        <v>19</v>
      </c>
      <c r="J199" s="10" t="s">
        <v>11</v>
      </c>
      <c r="K199" s="3" t="s">
        <v>517</v>
      </c>
      <c r="L199" s="3"/>
      <c r="M199" s="3"/>
      <c r="N199" s="3"/>
      <c r="O199" s="3"/>
      <c r="P199" s="3"/>
      <c r="Q199" s="3"/>
      <c r="R199" s="3"/>
      <c r="S199" s="3"/>
    </row>
    <row r="200" spans="1:19" ht="45" x14ac:dyDescent="0.25">
      <c r="A200" s="3"/>
      <c r="B200" s="3">
        <v>201</v>
      </c>
      <c r="C200" s="3" t="s">
        <v>455</v>
      </c>
      <c r="D200" s="3" t="s">
        <v>466</v>
      </c>
      <c r="E200" s="40" t="s">
        <v>2779</v>
      </c>
      <c r="F200" s="4">
        <v>4176</v>
      </c>
      <c r="G200" s="3" t="s">
        <v>485</v>
      </c>
      <c r="H200" s="3" t="s">
        <v>81</v>
      </c>
      <c r="I200" s="3" t="s">
        <v>19</v>
      </c>
      <c r="J200" s="10" t="s">
        <v>11</v>
      </c>
      <c r="K200" s="3" t="s">
        <v>581</v>
      </c>
      <c r="L200" s="3"/>
      <c r="M200" s="3"/>
      <c r="N200" s="3"/>
      <c r="O200" s="3"/>
      <c r="P200" s="3"/>
      <c r="Q200" s="3"/>
      <c r="R200" s="3"/>
      <c r="S200" s="3"/>
    </row>
    <row r="201" spans="1:19" ht="157.5" customHeight="1" x14ac:dyDescent="0.25">
      <c r="A201" s="3"/>
      <c r="B201" s="1">
        <v>203</v>
      </c>
      <c r="C201" s="3" t="s">
        <v>582</v>
      </c>
      <c r="D201" s="3" t="s">
        <v>583</v>
      </c>
      <c r="E201" s="40">
        <v>40</v>
      </c>
      <c r="F201" s="4">
        <v>40</v>
      </c>
      <c r="G201" s="3" t="s">
        <v>485</v>
      </c>
      <c r="H201" s="3" t="s">
        <v>81</v>
      </c>
      <c r="I201" s="3" t="s">
        <v>19</v>
      </c>
      <c r="J201" s="10" t="s">
        <v>11</v>
      </c>
      <c r="K201" s="3" t="s">
        <v>584</v>
      </c>
      <c r="L201" s="3"/>
      <c r="M201" s="3"/>
      <c r="N201" s="3"/>
      <c r="O201" s="3"/>
      <c r="P201" s="3"/>
      <c r="Q201" s="3"/>
      <c r="R201" s="3"/>
      <c r="S201" s="3"/>
    </row>
    <row r="202" spans="1:19" ht="101.25" x14ac:dyDescent="0.25">
      <c r="A202" s="3"/>
      <c r="B202" s="1">
        <v>204</v>
      </c>
      <c r="C202" s="3" t="s">
        <v>489</v>
      </c>
      <c r="D202" s="3" t="s">
        <v>101</v>
      </c>
      <c r="E202" s="40" t="s">
        <v>2780</v>
      </c>
      <c r="F202" s="4">
        <v>1500</v>
      </c>
      <c r="G202" s="3" t="s">
        <v>485</v>
      </c>
      <c r="H202" s="3" t="s">
        <v>81</v>
      </c>
      <c r="I202" s="3" t="s">
        <v>19</v>
      </c>
      <c r="J202" s="10" t="s">
        <v>284</v>
      </c>
      <c r="K202" s="3" t="s">
        <v>499</v>
      </c>
      <c r="L202" s="3"/>
      <c r="M202" s="3"/>
      <c r="N202" s="3"/>
      <c r="O202" s="3"/>
      <c r="P202" s="3"/>
      <c r="Q202" s="3"/>
      <c r="R202" s="3"/>
      <c r="S202" s="3"/>
    </row>
    <row r="203" spans="1:19" ht="101.25" x14ac:dyDescent="0.25">
      <c r="A203" s="3"/>
      <c r="B203" s="3">
        <v>205</v>
      </c>
      <c r="C203" s="3" t="s">
        <v>490</v>
      </c>
      <c r="D203" s="3" t="s">
        <v>491</v>
      </c>
      <c r="E203" s="40">
        <v>7113.66</v>
      </c>
      <c r="F203" s="4">
        <v>7685</v>
      </c>
      <c r="G203" s="3" t="s">
        <v>500</v>
      </c>
      <c r="H203" s="3" t="s">
        <v>81</v>
      </c>
      <c r="I203" s="3" t="s">
        <v>19</v>
      </c>
      <c r="J203" s="10" t="s">
        <v>284</v>
      </c>
      <c r="K203" s="3" t="s">
        <v>526</v>
      </c>
      <c r="L203" s="3"/>
      <c r="M203" s="3"/>
      <c r="N203" s="3"/>
      <c r="O203" s="3"/>
      <c r="P203" s="3"/>
      <c r="Q203" s="3"/>
      <c r="R203" s="3"/>
      <c r="S203" s="3"/>
    </row>
    <row r="204" spans="1:19" ht="22.5" x14ac:dyDescent="0.25">
      <c r="A204" s="3"/>
      <c r="B204" s="3">
        <v>206</v>
      </c>
      <c r="C204" s="3" t="s">
        <v>492</v>
      </c>
      <c r="D204" s="3" t="s">
        <v>493</v>
      </c>
      <c r="E204" s="43"/>
      <c r="F204" s="4">
        <v>10144</v>
      </c>
      <c r="G204" s="3" t="s">
        <v>501</v>
      </c>
      <c r="H204" s="3" t="s">
        <v>81</v>
      </c>
      <c r="I204" s="3" t="s">
        <v>12</v>
      </c>
      <c r="J204" s="17" t="s">
        <v>502</v>
      </c>
      <c r="K204" s="3"/>
      <c r="L204" s="3"/>
      <c r="M204" s="3"/>
      <c r="N204" s="3"/>
      <c r="O204" s="3"/>
      <c r="P204" s="3"/>
      <c r="Q204" s="3"/>
      <c r="R204" s="3"/>
      <c r="S204" s="3"/>
    </row>
    <row r="205" spans="1:19" ht="22.5" x14ac:dyDescent="0.25">
      <c r="A205" s="3"/>
      <c r="B205" s="1">
        <v>207</v>
      </c>
      <c r="C205" s="3" t="s">
        <v>494</v>
      </c>
      <c r="D205" s="3" t="s">
        <v>495</v>
      </c>
      <c r="E205" s="44">
        <f>2456.5</f>
        <v>2456.5</v>
      </c>
      <c r="F205" s="4">
        <v>6000</v>
      </c>
      <c r="G205" s="3" t="s">
        <v>501</v>
      </c>
      <c r="H205" s="3" t="s">
        <v>26</v>
      </c>
      <c r="I205" s="3" t="s">
        <v>9</v>
      </c>
      <c r="J205" s="17" t="s">
        <v>503</v>
      </c>
      <c r="K205" s="3"/>
      <c r="L205" s="4"/>
      <c r="M205" s="3"/>
      <c r="N205" s="3"/>
      <c r="O205" s="3"/>
      <c r="P205" s="3"/>
      <c r="Q205" s="3"/>
      <c r="R205" s="3"/>
      <c r="S205" s="3"/>
    </row>
    <row r="206" spans="1:19" ht="45" x14ac:dyDescent="0.25">
      <c r="A206" s="3"/>
      <c r="B206" s="1">
        <v>208</v>
      </c>
      <c r="C206" s="3" t="s">
        <v>496</v>
      </c>
      <c r="D206" s="3" t="s">
        <v>89</v>
      </c>
      <c r="E206" s="40">
        <v>5410.3</v>
      </c>
      <c r="F206" s="26">
        <v>5410.3</v>
      </c>
      <c r="G206" s="3" t="s">
        <v>504</v>
      </c>
      <c r="H206" s="3" t="s">
        <v>81</v>
      </c>
      <c r="I206" s="3" t="s">
        <v>19</v>
      </c>
      <c r="J206" s="3" t="s">
        <v>3</v>
      </c>
      <c r="K206" s="3" t="s">
        <v>522</v>
      </c>
      <c r="L206" s="3"/>
      <c r="M206" s="3"/>
      <c r="N206" s="3"/>
      <c r="O206" s="3"/>
      <c r="P206" s="3"/>
      <c r="Q206" s="3"/>
      <c r="R206" s="3"/>
      <c r="S206" s="3"/>
    </row>
    <row r="207" spans="1:19" ht="45" x14ac:dyDescent="0.25">
      <c r="A207" s="3"/>
      <c r="B207" s="3">
        <v>209</v>
      </c>
      <c r="C207" s="3" t="s">
        <v>497</v>
      </c>
      <c r="D207" s="3" t="s">
        <v>89</v>
      </c>
      <c r="E207" s="40" t="s">
        <v>2781</v>
      </c>
      <c r="F207" s="4">
        <v>1600</v>
      </c>
      <c r="G207" s="3" t="s">
        <v>504</v>
      </c>
      <c r="H207" s="3" t="s">
        <v>81</v>
      </c>
      <c r="I207" s="3" t="s">
        <v>19</v>
      </c>
      <c r="J207" s="3" t="s">
        <v>3</v>
      </c>
      <c r="K207" s="3" t="s">
        <v>523</v>
      </c>
      <c r="L207" s="3"/>
      <c r="M207" s="3"/>
      <c r="N207" s="3"/>
      <c r="O207" s="3"/>
      <c r="P207" s="3"/>
      <c r="Q207" s="3"/>
      <c r="R207" s="3"/>
      <c r="S207" s="3"/>
    </row>
    <row r="208" spans="1:19" ht="45" x14ac:dyDescent="0.25">
      <c r="A208" s="3"/>
      <c r="B208" s="3">
        <v>210</v>
      </c>
      <c r="C208" s="3" t="s">
        <v>498</v>
      </c>
      <c r="D208" s="3" t="s">
        <v>89</v>
      </c>
      <c r="E208" s="40">
        <v>1600</v>
      </c>
      <c r="F208" s="4">
        <v>2000</v>
      </c>
      <c r="G208" s="3" t="s">
        <v>504</v>
      </c>
      <c r="H208" s="3" t="s">
        <v>81</v>
      </c>
      <c r="I208" s="3" t="s">
        <v>19</v>
      </c>
      <c r="J208" s="3" t="s">
        <v>3</v>
      </c>
      <c r="K208" s="3" t="s">
        <v>524</v>
      </c>
      <c r="L208" s="3"/>
      <c r="M208" s="3"/>
      <c r="N208" s="3"/>
      <c r="O208" s="3"/>
      <c r="P208" s="3"/>
      <c r="Q208" s="3"/>
      <c r="R208" s="3"/>
      <c r="S208" s="3"/>
    </row>
    <row r="209" spans="1:19" ht="45" x14ac:dyDescent="0.25">
      <c r="A209" s="3"/>
      <c r="B209" s="1">
        <v>211</v>
      </c>
      <c r="C209" s="3" t="s">
        <v>498</v>
      </c>
      <c r="D209" s="3" t="s">
        <v>85</v>
      </c>
      <c r="E209" s="40" t="s">
        <v>2782</v>
      </c>
      <c r="F209" s="4">
        <v>4463.5</v>
      </c>
      <c r="G209" s="3" t="s">
        <v>504</v>
      </c>
      <c r="H209" s="3" t="s">
        <v>81</v>
      </c>
      <c r="I209" s="3" t="s">
        <v>19</v>
      </c>
      <c r="J209" s="3" t="s">
        <v>3</v>
      </c>
      <c r="K209" s="3" t="s">
        <v>525</v>
      </c>
      <c r="L209" s="3"/>
      <c r="M209" s="3"/>
      <c r="N209" s="3"/>
      <c r="O209" s="3"/>
      <c r="P209" s="3"/>
      <c r="Q209" s="3"/>
      <c r="R209" s="3"/>
      <c r="S209" s="3"/>
    </row>
    <row r="210" spans="1:19" ht="101.25" x14ac:dyDescent="0.25">
      <c r="A210" s="3"/>
      <c r="B210" s="1">
        <v>212</v>
      </c>
      <c r="C210" s="3" t="s">
        <v>527</v>
      </c>
      <c r="D210" s="3" t="s">
        <v>528</v>
      </c>
      <c r="E210" s="40">
        <v>17739.43</v>
      </c>
      <c r="F210" s="4">
        <v>18454</v>
      </c>
      <c r="G210" s="3" t="s">
        <v>557</v>
      </c>
      <c r="H210" s="3" t="s">
        <v>81</v>
      </c>
      <c r="I210" s="3" t="s">
        <v>19</v>
      </c>
      <c r="J210" s="10" t="s">
        <v>284</v>
      </c>
      <c r="K210" s="3" t="s">
        <v>739</v>
      </c>
      <c r="L210" s="3"/>
      <c r="M210" s="3"/>
      <c r="N210" s="3"/>
      <c r="O210" s="3"/>
      <c r="P210" s="3"/>
      <c r="Q210" s="3"/>
      <c r="R210" s="3"/>
      <c r="S210" s="3"/>
    </row>
    <row r="211" spans="1:19" ht="101.25" x14ac:dyDescent="0.25">
      <c r="A211" s="3"/>
      <c r="B211" s="3">
        <v>213</v>
      </c>
      <c r="C211" s="3" t="s">
        <v>529</v>
      </c>
      <c r="D211" s="3" t="s">
        <v>530</v>
      </c>
      <c r="E211" s="40">
        <v>9166.0400000000009</v>
      </c>
      <c r="F211" s="4">
        <v>9555</v>
      </c>
      <c r="G211" s="3" t="s">
        <v>557</v>
      </c>
      <c r="H211" s="3" t="s">
        <v>81</v>
      </c>
      <c r="I211" s="3" t="s">
        <v>19</v>
      </c>
      <c r="J211" s="10" t="s">
        <v>284</v>
      </c>
      <c r="K211" s="3" t="s">
        <v>740</v>
      </c>
      <c r="L211" s="3"/>
      <c r="M211" s="3"/>
      <c r="N211" s="3"/>
      <c r="O211" s="3"/>
      <c r="P211" s="3"/>
      <c r="Q211" s="3"/>
      <c r="R211" s="3"/>
      <c r="S211" s="3"/>
    </row>
    <row r="212" spans="1:19" ht="101.25" x14ac:dyDescent="0.25">
      <c r="A212" s="3"/>
      <c r="B212" s="3">
        <v>214</v>
      </c>
      <c r="C212" s="3" t="s">
        <v>531</v>
      </c>
      <c r="D212" s="3" t="s">
        <v>532</v>
      </c>
      <c r="E212" s="40">
        <f>14969+2724.3+15414+2796.3+15766+2827.44</f>
        <v>54497.040000000008</v>
      </c>
      <c r="F212" s="4">
        <v>54870</v>
      </c>
      <c r="G212" s="3" t="s">
        <v>557</v>
      </c>
      <c r="H212" s="3" t="s">
        <v>81</v>
      </c>
      <c r="I212" s="3" t="s">
        <v>19</v>
      </c>
      <c r="J212" s="10" t="s">
        <v>284</v>
      </c>
      <c r="K212" s="3" t="s">
        <v>749</v>
      </c>
      <c r="L212" s="3"/>
      <c r="M212" s="3"/>
      <c r="N212" s="3"/>
      <c r="O212" s="3"/>
      <c r="P212" s="3"/>
      <c r="Q212" s="3"/>
      <c r="R212" s="3"/>
      <c r="S212" s="3"/>
    </row>
    <row r="213" spans="1:19" ht="22.5" x14ac:dyDescent="0.25">
      <c r="A213" s="3"/>
      <c r="B213" s="1">
        <v>215</v>
      </c>
      <c r="C213" s="3" t="s">
        <v>533</v>
      </c>
      <c r="D213" s="3" t="s">
        <v>534</v>
      </c>
      <c r="E213" s="41">
        <v>211724.82</v>
      </c>
      <c r="F213" s="4">
        <v>222906.81</v>
      </c>
      <c r="G213" s="3" t="s">
        <v>558</v>
      </c>
      <c r="H213" s="3" t="s">
        <v>81</v>
      </c>
      <c r="I213" s="3" t="s">
        <v>12</v>
      </c>
      <c r="J213" s="3" t="s">
        <v>559</v>
      </c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45.75" x14ac:dyDescent="0.25">
      <c r="A214" s="3"/>
      <c r="B214" s="1">
        <v>216</v>
      </c>
      <c r="C214" s="3" t="s">
        <v>535</v>
      </c>
      <c r="D214" s="3" t="s">
        <v>536</v>
      </c>
      <c r="E214" s="40">
        <v>270</v>
      </c>
      <c r="F214" s="4">
        <v>270</v>
      </c>
      <c r="G214" s="3" t="s">
        <v>558</v>
      </c>
      <c r="H214" s="3" t="s">
        <v>81</v>
      </c>
      <c r="I214" s="3" t="s">
        <v>19</v>
      </c>
      <c r="J214" s="8" t="s">
        <v>7</v>
      </c>
      <c r="K214" s="12" t="s">
        <v>737</v>
      </c>
      <c r="L214" s="3"/>
      <c r="M214" s="3"/>
      <c r="N214" s="3"/>
      <c r="O214" s="3"/>
      <c r="P214" s="3"/>
      <c r="Q214" s="3"/>
      <c r="R214" s="3"/>
      <c r="S214" s="3"/>
    </row>
    <row r="215" spans="1:19" ht="45" x14ac:dyDescent="0.25">
      <c r="A215" s="3"/>
      <c r="B215" s="3">
        <v>218</v>
      </c>
      <c r="C215" s="3" t="s">
        <v>537</v>
      </c>
      <c r="D215" s="3" t="s">
        <v>538</v>
      </c>
      <c r="E215" s="40">
        <v>1528</v>
      </c>
      <c r="F215" s="4">
        <v>1528</v>
      </c>
      <c r="G215" s="3" t="s">
        <v>560</v>
      </c>
      <c r="H215" s="3" t="s">
        <v>81</v>
      </c>
      <c r="I215" s="3" t="s">
        <v>19</v>
      </c>
      <c r="J215" s="8" t="s">
        <v>3</v>
      </c>
      <c r="K215" s="3" t="s">
        <v>561</v>
      </c>
      <c r="L215" s="3"/>
      <c r="M215" s="3"/>
      <c r="N215" s="3"/>
      <c r="O215" s="3"/>
      <c r="P215" s="3"/>
      <c r="Q215" s="3"/>
      <c r="R215" s="3"/>
      <c r="S215" s="3"/>
    </row>
    <row r="216" spans="1:19" ht="45" x14ac:dyDescent="0.25">
      <c r="A216" s="3"/>
      <c r="B216" s="1">
        <v>219</v>
      </c>
      <c r="C216" s="3" t="s">
        <v>539</v>
      </c>
      <c r="D216" s="3" t="s">
        <v>89</v>
      </c>
      <c r="E216" s="40">
        <f>2213.2+485.43+267.3+182.05+959.2</f>
        <v>4107.18</v>
      </c>
      <c r="F216" s="4">
        <v>7000</v>
      </c>
      <c r="G216" s="3" t="s">
        <v>560</v>
      </c>
      <c r="H216" s="3" t="s">
        <v>26</v>
      </c>
      <c r="I216" s="3" t="s">
        <v>19</v>
      </c>
      <c r="J216" s="8" t="s">
        <v>3</v>
      </c>
      <c r="K216" s="3" t="s">
        <v>562</v>
      </c>
      <c r="L216" s="3"/>
      <c r="M216" s="3"/>
      <c r="N216" s="3"/>
      <c r="O216" s="3"/>
      <c r="P216" s="3"/>
      <c r="Q216" s="3"/>
      <c r="R216" s="3"/>
      <c r="S216" s="3"/>
    </row>
    <row r="217" spans="1:19" ht="45" x14ac:dyDescent="0.25">
      <c r="A217" s="3"/>
      <c r="B217" s="1">
        <v>220</v>
      </c>
      <c r="C217" s="3" t="s">
        <v>540</v>
      </c>
      <c r="D217" s="3" t="s">
        <v>89</v>
      </c>
      <c r="E217" s="40">
        <f>1440.45+237.6+96.03+119.79+262.35+123.25</f>
        <v>2279.4699999999998</v>
      </c>
      <c r="F217" s="4">
        <v>7000</v>
      </c>
      <c r="G217" s="3" t="s">
        <v>560</v>
      </c>
      <c r="H217" s="3" t="s">
        <v>26</v>
      </c>
      <c r="I217" s="3" t="s">
        <v>19</v>
      </c>
      <c r="J217" s="8" t="s">
        <v>3</v>
      </c>
      <c r="K217" s="3" t="s">
        <v>563</v>
      </c>
      <c r="L217" s="3"/>
      <c r="M217" s="3"/>
      <c r="N217" s="3"/>
      <c r="O217" s="3"/>
      <c r="P217" s="3"/>
      <c r="Q217" s="3"/>
      <c r="R217" s="3"/>
      <c r="S217" s="3"/>
    </row>
    <row r="218" spans="1:19" ht="45" x14ac:dyDescent="0.25">
      <c r="A218" s="3"/>
      <c r="B218" s="3">
        <v>221</v>
      </c>
      <c r="C218" s="3" t="s">
        <v>541</v>
      </c>
      <c r="D218" s="3" t="s">
        <v>89</v>
      </c>
      <c r="E218" s="40" t="s">
        <v>2783</v>
      </c>
      <c r="F218" s="4">
        <v>2000</v>
      </c>
      <c r="G218" s="3" t="s">
        <v>560</v>
      </c>
      <c r="H218" s="3" t="s">
        <v>81</v>
      </c>
      <c r="I218" s="3" t="s">
        <v>19</v>
      </c>
      <c r="J218" s="8" t="s">
        <v>3</v>
      </c>
      <c r="K218" s="3" t="s">
        <v>564</v>
      </c>
      <c r="L218" s="3"/>
      <c r="M218" s="3"/>
      <c r="N218" s="3"/>
      <c r="O218" s="3"/>
      <c r="P218" s="3"/>
      <c r="Q218" s="3"/>
      <c r="R218" s="3"/>
      <c r="S218" s="3"/>
    </row>
    <row r="219" spans="1:19" ht="45" x14ac:dyDescent="0.25">
      <c r="A219" s="3"/>
      <c r="B219" s="3">
        <v>222</v>
      </c>
      <c r="C219" s="3" t="s">
        <v>542</v>
      </c>
      <c r="D219" s="3" t="s">
        <v>543</v>
      </c>
      <c r="E219" s="40">
        <v>1160</v>
      </c>
      <c r="F219" s="4">
        <v>1160</v>
      </c>
      <c r="G219" s="3" t="s">
        <v>560</v>
      </c>
      <c r="H219" s="3" t="s">
        <v>81</v>
      </c>
      <c r="I219" s="3" t="s">
        <v>19</v>
      </c>
      <c r="J219" s="8" t="s">
        <v>3</v>
      </c>
      <c r="K219" s="3" t="s">
        <v>575</v>
      </c>
      <c r="L219" s="3"/>
      <c r="M219" s="3"/>
      <c r="N219" s="3"/>
      <c r="O219" s="3"/>
      <c r="P219" s="3"/>
      <c r="Q219" s="3"/>
      <c r="R219" s="3"/>
      <c r="S219" s="3"/>
    </row>
    <row r="220" spans="1:19" ht="101.25" x14ac:dyDescent="0.25">
      <c r="A220" s="3"/>
      <c r="B220" s="1">
        <v>223</v>
      </c>
      <c r="C220" s="3" t="s">
        <v>544</v>
      </c>
      <c r="D220" s="3" t="s">
        <v>545</v>
      </c>
      <c r="E220" s="40">
        <f>4077305+733433.94</f>
        <v>4810738.9399999995</v>
      </c>
      <c r="F220" s="4">
        <v>4926500</v>
      </c>
      <c r="G220" s="3" t="s">
        <v>565</v>
      </c>
      <c r="H220" s="3" t="s">
        <v>81</v>
      </c>
      <c r="I220" s="3" t="s">
        <v>19</v>
      </c>
      <c r="J220" s="10" t="s">
        <v>566</v>
      </c>
      <c r="K220" s="3" t="s">
        <v>567</v>
      </c>
      <c r="L220" s="3"/>
      <c r="M220" s="3"/>
      <c r="N220" s="3"/>
      <c r="O220" s="3"/>
      <c r="P220" s="3"/>
      <c r="Q220" s="3"/>
      <c r="R220" s="3"/>
      <c r="S220" s="3"/>
    </row>
    <row r="221" spans="1:19" ht="45" x14ac:dyDescent="0.25">
      <c r="A221" s="3"/>
      <c r="B221" s="1">
        <v>224</v>
      </c>
      <c r="C221" s="3" t="s">
        <v>192</v>
      </c>
      <c r="D221" s="3" t="s">
        <v>193</v>
      </c>
      <c r="E221" s="40" t="s">
        <v>580</v>
      </c>
      <c r="F221" s="4">
        <v>150</v>
      </c>
      <c r="G221" s="3" t="s">
        <v>568</v>
      </c>
      <c r="H221" s="3" t="s">
        <v>81</v>
      </c>
      <c r="I221" s="3" t="s">
        <v>19</v>
      </c>
      <c r="J221" s="10" t="s">
        <v>11</v>
      </c>
      <c r="K221" s="3" t="s">
        <v>569</v>
      </c>
      <c r="L221" s="3"/>
      <c r="M221" s="3"/>
      <c r="N221" s="3"/>
      <c r="O221" s="3"/>
      <c r="P221" s="3"/>
      <c r="Q221" s="3"/>
      <c r="R221" s="3"/>
      <c r="S221" s="3"/>
    </row>
    <row r="222" spans="1:19" ht="45" x14ac:dyDescent="0.25">
      <c r="A222" s="3"/>
      <c r="B222" s="3">
        <v>225</v>
      </c>
      <c r="C222" s="3" t="s">
        <v>441</v>
      </c>
      <c r="D222" s="3" t="s">
        <v>546</v>
      </c>
      <c r="E222" s="40" t="s">
        <v>587</v>
      </c>
      <c r="F222" s="4">
        <v>55</v>
      </c>
      <c r="G222" s="3" t="s">
        <v>570</v>
      </c>
      <c r="H222" s="3" t="s">
        <v>81</v>
      </c>
      <c r="I222" s="3" t="s">
        <v>19</v>
      </c>
      <c r="J222" s="10" t="s">
        <v>11</v>
      </c>
      <c r="K222" s="3" t="s">
        <v>585</v>
      </c>
      <c r="L222" s="3"/>
      <c r="M222" s="3"/>
      <c r="N222" s="3"/>
      <c r="O222" s="3"/>
      <c r="P222" s="3"/>
      <c r="Q222" s="3"/>
      <c r="R222" s="3"/>
      <c r="S222" s="3"/>
    </row>
    <row r="223" spans="1:19" ht="101.25" x14ac:dyDescent="0.25">
      <c r="A223" s="3"/>
      <c r="B223" s="3">
        <v>226</v>
      </c>
      <c r="C223" s="3" t="s">
        <v>547</v>
      </c>
      <c r="D223" s="3" t="s">
        <v>548</v>
      </c>
      <c r="E223" s="40">
        <v>1708</v>
      </c>
      <c r="F223" s="4">
        <v>1750</v>
      </c>
      <c r="G223" s="3" t="s">
        <v>570</v>
      </c>
      <c r="H223" s="3" t="s">
        <v>81</v>
      </c>
      <c r="I223" s="3" t="s">
        <v>19</v>
      </c>
      <c r="J223" s="10" t="s">
        <v>284</v>
      </c>
      <c r="K223" s="3" t="s">
        <v>586</v>
      </c>
      <c r="L223" s="3"/>
      <c r="M223" s="3"/>
      <c r="N223" s="3"/>
      <c r="O223" s="3"/>
      <c r="P223" s="3"/>
      <c r="Q223" s="3"/>
      <c r="R223" s="3"/>
      <c r="S223" s="3"/>
    </row>
    <row r="224" spans="1:19" ht="45" x14ac:dyDescent="0.25">
      <c r="A224" s="3"/>
      <c r="B224" s="1">
        <v>227</v>
      </c>
      <c r="C224" s="3" t="s">
        <v>192</v>
      </c>
      <c r="D224" s="3" t="s">
        <v>193</v>
      </c>
      <c r="E224" s="40">
        <v>150</v>
      </c>
      <c r="F224" s="4">
        <v>150</v>
      </c>
      <c r="G224" s="3" t="s">
        <v>570</v>
      </c>
      <c r="H224" s="3" t="s">
        <v>81</v>
      </c>
      <c r="I224" s="3" t="s">
        <v>19</v>
      </c>
      <c r="J224" s="10" t="s">
        <v>11</v>
      </c>
      <c r="K224" s="3" t="s">
        <v>571</v>
      </c>
      <c r="L224" s="3"/>
      <c r="M224" s="3"/>
      <c r="N224" s="3"/>
      <c r="O224" s="3"/>
      <c r="P224" s="3"/>
      <c r="Q224" s="3"/>
      <c r="R224" s="3"/>
      <c r="S224" s="3"/>
    </row>
    <row r="225" spans="1:19" ht="101.25" x14ac:dyDescent="0.25">
      <c r="A225" s="3"/>
      <c r="B225" s="1">
        <v>228</v>
      </c>
      <c r="C225" s="3" t="s">
        <v>549</v>
      </c>
      <c r="D225" s="3" t="s">
        <v>550</v>
      </c>
      <c r="E225" s="40">
        <f>580000+1218020+770580</f>
        <v>2568600</v>
      </c>
      <c r="F225" s="4">
        <v>2568600</v>
      </c>
      <c r="G225" s="3" t="s">
        <v>570</v>
      </c>
      <c r="H225" s="3" t="s">
        <v>81</v>
      </c>
      <c r="I225" s="3" t="s">
        <v>19</v>
      </c>
      <c r="J225" s="10" t="s">
        <v>566</v>
      </c>
      <c r="K225" s="3" t="s">
        <v>572</v>
      </c>
      <c r="L225" s="3"/>
      <c r="M225" s="3"/>
      <c r="N225" s="3"/>
      <c r="O225" s="3"/>
      <c r="P225" s="3"/>
      <c r="Q225" s="3"/>
      <c r="R225" s="3"/>
      <c r="S225" s="3"/>
    </row>
    <row r="226" spans="1:19" ht="101.25" x14ac:dyDescent="0.25">
      <c r="A226" s="3"/>
      <c r="B226" s="3">
        <v>229</v>
      </c>
      <c r="C226" s="3" t="s">
        <v>551</v>
      </c>
      <c r="D226" s="3" t="s">
        <v>550</v>
      </c>
      <c r="E226" s="40">
        <f>553969+611953+511678</f>
        <v>1677600</v>
      </c>
      <c r="F226" s="4">
        <v>1677600</v>
      </c>
      <c r="G226" s="3" t="s">
        <v>570</v>
      </c>
      <c r="H226" s="3" t="s">
        <v>573</v>
      </c>
      <c r="I226" s="3" t="s">
        <v>19</v>
      </c>
      <c r="J226" s="10" t="s">
        <v>566</v>
      </c>
      <c r="K226" s="3" t="s">
        <v>906</v>
      </c>
      <c r="L226" s="3"/>
      <c r="M226" s="3"/>
      <c r="N226" s="3"/>
      <c r="O226" s="3"/>
      <c r="P226" s="3"/>
      <c r="Q226" s="3"/>
      <c r="R226" s="3"/>
      <c r="S226" s="3"/>
    </row>
    <row r="227" spans="1:19" ht="101.25" x14ac:dyDescent="0.25">
      <c r="A227" s="3"/>
      <c r="B227" s="3">
        <v>230</v>
      </c>
      <c r="C227" s="3" t="s">
        <v>552</v>
      </c>
      <c r="D227" s="3" t="s">
        <v>550</v>
      </c>
      <c r="E227" s="40">
        <f>144752.4+75507.12+60540.48</f>
        <v>280800</v>
      </c>
      <c r="F227" s="4">
        <v>280800</v>
      </c>
      <c r="G227" s="3" t="s">
        <v>570</v>
      </c>
      <c r="H227" s="3" t="s">
        <v>573</v>
      </c>
      <c r="I227" s="3" t="s">
        <v>19</v>
      </c>
      <c r="J227" s="10" t="s">
        <v>566</v>
      </c>
      <c r="K227" s="3" t="s">
        <v>1120</v>
      </c>
      <c r="L227" s="3"/>
      <c r="M227" s="3"/>
      <c r="N227" s="3"/>
      <c r="O227" s="3"/>
      <c r="P227" s="3"/>
      <c r="Q227" s="3"/>
      <c r="R227" s="3"/>
      <c r="S227" s="3"/>
    </row>
    <row r="228" spans="1:19" ht="101.25" x14ac:dyDescent="0.25">
      <c r="A228" s="3"/>
      <c r="B228" s="1">
        <v>231</v>
      </c>
      <c r="C228" s="3" t="s">
        <v>553</v>
      </c>
      <c r="D228" s="3" t="s">
        <v>554</v>
      </c>
      <c r="E228" s="40">
        <f>11892.78+11711.78</f>
        <v>23604.560000000001</v>
      </c>
      <c r="F228" s="4">
        <v>23604.560000000001</v>
      </c>
      <c r="G228" s="3" t="s">
        <v>570</v>
      </c>
      <c r="H228" s="3" t="s">
        <v>573</v>
      </c>
      <c r="I228" s="3" t="s">
        <v>19</v>
      </c>
      <c r="J228" s="10" t="s">
        <v>284</v>
      </c>
      <c r="K228" s="3" t="s">
        <v>741</v>
      </c>
      <c r="L228" s="3"/>
      <c r="M228" s="3"/>
      <c r="N228" s="3"/>
      <c r="O228" s="3"/>
      <c r="P228" s="3"/>
      <c r="Q228" s="3"/>
      <c r="R228" s="3"/>
      <c r="S228" s="3"/>
    </row>
    <row r="229" spans="1:19" ht="22.5" x14ac:dyDescent="0.25">
      <c r="A229" s="3"/>
      <c r="B229" s="1">
        <v>232</v>
      </c>
      <c r="C229" s="3" t="s">
        <v>555</v>
      </c>
      <c r="D229" s="3" t="s">
        <v>556</v>
      </c>
      <c r="E229" s="53">
        <v>60275</v>
      </c>
      <c r="F229" s="4">
        <v>60275</v>
      </c>
      <c r="G229" s="3" t="s">
        <v>570</v>
      </c>
      <c r="H229" s="3" t="s">
        <v>573</v>
      </c>
      <c r="I229" s="3" t="s">
        <v>9</v>
      </c>
      <c r="J229" s="17" t="s">
        <v>574</v>
      </c>
      <c r="K229" s="3"/>
      <c r="L229" s="3"/>
      <c r="M229" s="3"/>
      <c r="N229" s="3"/>
      <c r="O229" s="3"/>
      <c r="P229" s="3"/>
      <c r="Q229" s="3"/>
      <c r="R229" s="3"/>
      <c r="S229" s="3"/>
    </row>
    <row r="230" spans="1:19" ht="45" x14ac:dyDescent="0.25">
      <c r="A230" s="3"/>
      <c r="B230" s="3">
        <v>233</v>
      </c>
      <c r="C230" s="3" t="s">
        <v>588</v>
      </c>
      <c r="D230" s="3" t="s">
        <v>85</v>
      </c>
      <c r="E230" s="40" t="s">
        <v>2784</v>
      </c>
      <c r="F230" s="4">
        <v>1280</v>
      </c>
      <c r="G230" s="3" t="s">
        <v>654</v>
      </c>
      <c r="H230" s="3" t="s">
        <v>81</v>
      </c>
      <c r="I230" s="3" t="s">
        <v>19</v>
      </c>
      <c r="J230" s="8" t="s">
        <v>3</v>
      </c>
      <c r="K230" s="3" t="s">
        <v>655</v>
      </c>
      <c r="L230" s="3"/>
      <c r="M230" s="3"/>
      <c r="N230" s="3"/>
      <c r="O230" s="3"/>
      <c r="P230" s="3"/>
      <c r="Q230" s="3"/>
      <c r="R230" s="3"/>
      <c r="S230" s="3"/>
    </row>
    <row r="231" spans="1:19" ht="45" x14ac:dyDescent="0.25">
      <c r="A231" s="3"/>
      <c r="B231" s="1">
        <v>236</v>
      </c>
      <c r="C231" s="3" t="s">
        <v>590</v>
      </c>
      <c r="D231" s="3" t="s">
        <v>83</v>
      </c>
      <c r="E231" s="40">
        <v>2480</v>
      </c>
      <c r="F231" s="4">
        <v>2480</v>
      </c>
      <c r="G231" s="3" t="s">
        <v>654</v>
      </c>
      <c r="H231" s="3" t="s">
        <v>81</v>
      </c>
      <c r="I231" s="3" t="s">
        <v>19</v>
      </c>
      <c r="J231" s="8" t="s">
        <v>3</v>
      </c>
      <c r="K231" s="3" t="s">
        <v>656</v>
      </c>
      <c r="L231" s="3"/>
      <c r="M231" s="3"/>
      <c r="N231" s="3"/>
      <c r="O231" s="3"/>
      <c r="P231" s="3"/>
      <c r="Q231" s="3"/>
      <c r="R231" s="3"/>
      <c r="S231" s="3"/>
    </row>
    <row r="232" spans="1:19" ht="45" x14ac:dyDescent="0.25">
      <c r="A232" s="3"/>
      <c r="B232" s="3">
        <v>237</v>
      </c>
      <c r="C232" s="3" t="s">
        <v>444</v>
      </c>
      <c r="D232" s="3" t="s">
        <v>543</v>
      </c>
      <c r="E232" s="40" t="s">
        <v>2785</v>
      </c>
      <c r="F232" s="4">
        <v>2800</v>
      </c>
      <c r="G232" s="3" t="s">
        <v>654</v>
      </c>
      <c r="H232" s="3" t="s">
        <v>81</v>
      </c>
      <c r="I232" s="3" t="s">
        <v>19</v>
      </c>
      <c r="J232" s="8" t="s">
        <v>3</v>
      </c>
      <c r="K232" s="3" t="s">
        <v>657</v>
      </c>
      <c r="L232" s="3"/>
      <c r="M232" s="3"/>
      <c r="N232" s="3"/>
      <c r="O232" s="3"/>
      <c r="P232" s="3"/>
      <c r="Q232" s="3"/>
      <c r="R232" s="3"/>
      <c r="S232" s="3"/>
    </row>
    <row r="233" spans="1:19" ht="11.25" x14ac:dyDescent="0.25">
      <c r="A233" s="3"/>
      <c r="B233" s="3">
        <v>238</v>
      </c>
      <c r="C233" s="3" t="s">
        <v>591</v>
      </c>
      <c r="D233" s="3" t="s">
        <v>592</v>
      </c>
      <c r="E233" s="54" t="s">
        <v>2823</v>
      </c>
      <c r="F233" s="4">
        <v>2690</v>
      </c>
      <c r="G233" s="3" t="s">
        <v>654</v>
      </c>
      <c r="H233" s="3" t="s">
        <v>26</v>
      </c>
      <c r="I233" s="3" t="s">
        <v>9</v>
      </c>
      <c r="J233" s="3" t="s">
        <v>658</v>
      </c>
      <c r="K233" s="3"/>
      <c r="L233" s="3"/>
      <c r="M233" s="3"/>
      <c r="N233" s="3"/>
      <c r="O233" s="3"/>
      <c r="P233" s="3"/>
      <c r="Q233" s="3"/>
      <c r="R233" s="3"/>
      <c r="S233" s="3"/>
    </row>
    <row r="234" spans="1:19" ht="101.25" x14ac:dyDescent="0.25">
      <c r="A234" s="3"/>
      <c r="B234" s="1">
        <v>239</v>
      </c>
      <c r="C234" s="3" t="s">
        <v>593</v>
      </c>
      <c r="D234" s="3" t="s">
        <v>594</v>
      </c>
      <c r="E234" s="40" t="s">
        <v>2786</v>
      </c>
      <c r="F234" s="4">
        <v>29957.4</v>
      </c>
      <c r="G234" s="3" t="s">
        <v>654</v>
      </c>
      <c r="H234" s="3" t="s">
        <v>81</v>
      </c>
      <c r="I234" s="3" t="s">
        <v>19</v>
      </c>
      <c r="J234" s="10" t="s">
        <v>566</v>
      </c>
      <c r="K234" s="3" t="s">
        <v>659</v>
      </c>
      <c r="L234" s="3"/>
      <c r="M234" s="3"/>
      <c r="N234" s="3"/>
      <c r="O234" s="3"/>
      <c r="P234" s="3"/>
      <c r="Q234" s="3"/>
      <c r="R234" s="3"/>
      <c r="S234" s="3"/>
    </row>
    <row r="235" spans="1:19" ht="22.5" x14ac:dyDescent="0.25">
      <c r="A235" s="3"/>
      <c r="B235" s="1">
        <v>240</v>
      </c>
      <c r="C235" s="3" t="s">
        <v>595</v>
      </c>
      <c r="D235" s="3" t="s">
        <v>596</v>
      </c>
      <c r="E235" s="40" t="s">
        <v>2787</v>
      </c>
      <c r="F235" s="4">
        <v>3500</v>
      </c>
      <c r="G235" s="3" t="s">
        <v>654</v>
      </c>
      <c r="H235" s="3" t="s">
        <v>660</v>
      </c>
      <c r="I235" s="3" t="s">
        <v>8</v>
      </c>
      <c r="J235" s="17"/>
      <c r="K235" s="3" t="s">
        <v>1123</v>
      </c>
      <c r="L235" s="3"/>
      <c r="M235" s="3"/>
      <c r="N235" s="3"/>
      <c r="O235" s="3"/>
      <c r="P235" s="3"/>
      <c r="Q235" s="3"/>
      <c r="R235" s="3"/>
      <c r="S235" s="3"/>
    </row>
    <row r="236" spans="1:19" ht="45" x14ac:dyDescent="0.25">
      <c r="A236" s="3"/>
      <c r="B236" s="3">
        <v>241</v>
      </c>
      <c r="C236" s="3" t="s">
        <v>542</v>
      </c>
      <c r="D236" s="3" t="s">
        <v>543</v>
      </c>
      <c r="E236" s="40">
        <v>4740</v>
      </c>
      <c r="F236" s="4">
        <v>4740</v>
      </c>
      <c r="G236" s="3" t="s">
        <v>654</v>
      </c>
      <c r="H236" s="3" t="s">
        <v>81</v>
      </c>
      <c r="I236" s="3" t="s">
        <v>19</v>
      </c>
      <c r="J236" s="8" t="s">
        <v>3</v>
      </c>
      <c r="K236" s="3" t="s">
        <v>661</v>
      </c>
      <c r="L236" s="3"/>
      <c r="M236" s="3"/>
      <c r="N236" s="3"/>
      <c r="O236" s="3"/>
      <c r="P236" s="3"/>
      <c r="Q236" s="3"/>
      <c r="R236" s="3"/>
      <c r="S236" s="3"/>
    </row>
    <row r="237" spans="1:19" ht="45" x14ac:dyDescent="0.25">
      <c r="A237" s="3"/>
      <c r="B237" s="3">
        <v>242</v>
      </c>
      <c r="C237" s="3" t="s">
        <v>275</v>
      </c>
      <c r="D237" s="3" t="s">
        <v>543</v>
      </c>
      <c r="E237" s="40" t="s">
        <v>742</v>
      </c>
      <c r="F237" s="4">
        <v>570</v>
      </c>
      <c r="G237" s="3" t="s">
        <v>654</v>
      </c>
      <c r="H237" s="3" t="s">
        <v>81</v>
      </c>
      <c r="I237" s="3" t="s">
        <v>19</v>
      </c>
      <c r="J237" s="8" t="s">
        <v>3</v>
      </c>
      <c r="K237" s="3" t="s">
        <v>662</v>
      </c>
      <c r="L237" s="3"/>
      <c r="M237" s="3"/>
      <c r="N237" s="3"/>
      <c r="O237" s="3"/>
      <c r="P237" s="3"/>
      <c r="Q237" s="3"/>
      <c r="R237" s="3"/>
      <c r="S237" s="3"/>
    </row>
    <row r="238" spans="1:19" ht="45" x14ac:dyDescent="0.25">
      <c r="A238" s="3"/>
      <c r="B238" s="1">
        <v>243</v>
      </c>
      <c r="C238" s="3" t="s">
        <v>275</v>
      </c>
      <c r="D238" s="3" t="s">
        <v>83</v>
      </c>
      <c r="E238" s="40" t="s">
        <v>742</v>
      </c>
      <c r="F238" s="4">
        <v>570</v>
      </c>
      <c r="G238" s="3" t="s">
        <v>654</v>
      </c>
      <c r="H238" s="3" t="s">
        <v>81</v>
      </c>
      <c r="I238" s="3" t="s">
        <v>19</v>
      </c>
      <c r="J238" s="8" t="s">
        <v>3</v>
      </c>
      <c r="K238" s="3" t="s">
        <v>663</v>
      </c>
      <c r="L238" s="3"/>
      <c r="M238" s="3"/>
      <c r="N238" s="3"/>
      <c r="O238" s="3"/>
      <c r="P238" s="3"/>
      <c r="Q238" s="3"/>
      <c r="R238" s="3"/>
      <c r="S238" s="3"/>
    </row>
    <row r="239" spans="1:19" ht="67.5" customHeight="1" x14ac:dyDescent="0.25">
      <c r="A239" s="3"/>
      <c r="B239" s="1">
        <v>244</v>
      </c>
      <c r="C239" s="3" t="s">
        <v>597</v>
      </c>
      <c r="D239" s="3" t="s">
        <v>83</v>
      </c>
      <c r="E239" s="40">
        <v>1875</v>
      </c>
      <c r="F239" s="4">
        <v>1875</v>
      </c>
      <c r="G239" s="3" t="s">
        <v>654</v>
      </c>
      <c r="H239" s="3" t="s">
        <v>81</v>
      </c>
      <c r="I239" s="3" t="s">
        <v>19</v>
      </c>
      <c r="J239" s="8" t="s">
        <v>3</v>
      </c>
      <c r="K239" s="3" t="s">
        <v>664</v>
      </c>
      <c r="L239" s="3"/>
      <c r="M239" s="3"/>
      <c r="N239" s="3"/>
      <c r="O239" s="3"/>
      <c r="P239" s="3"/>
      <c r="Q239" s="3"/>
      <c r="R239" s="3"/>
      <c r="S239" s="3"/>
    </row>
    <row r="240" spans="1:19" ht="45" x14ac:dyDescent="0.25">
      <c r="A240" s="3"/>
      <c r="B240" s="3">
        <v>245</v>
      </c>
      <c r="C240" s="3" t="s">
        <v>598</v>
      </c>
      <c r="D240" s="3" t="s">
        <v>89</v>
      </c>
      <c r="E240" s="40">
        <v>4932</v>
      </c>
      <c r="F240" s="4">
        <v>4932</v>
      </c>
      <c r="G240" s="3" t="s">
        <v>654</v>
      </c>
      <c r="H240" s="3" t="s">
        <v>81</v>
      </c>
      <c r="I240" s="3" t="s">
        <v>19</v>
      </c>
      <c r="J240" s="8" t="s">
        <v>3</v>
      </c>
      <c r="K240" s="3" t="s">
        <v>665</v>
      </c>
      <c r="L240" s="3"/>
      <c r="M240" s="3"/>
      <c r="N240" s="3"/>
      <c r="O240" s="3"/>
      <c r="P240" s="3"/>
      <c r="Q240" s="3"/>
      <c r="R240" s="3"/>
      <c r="S240" s="3"/>
    </row>
    <row r="241" spans="1:19" ht="45" x14ac:dyDescent="0.25">
      <c r="A241" s="3"/>
      <c r="B241" s="3">
        <v>246</v>
      </c>
      <c r="C241" s="3" t="s">
        <v>599</v>
      </c>
      <c r="D241" s="3" t="s">
        <v>600</v>
      </c>
      <c r="E241" s="40" t="s">
        <v>2788</v>
      </c>
      <c r="F241" s="4">
        <v>4400</v>
      </c>
      <c r="G241" s="3" t="s">
        <v>654</v>
      </c>
      <c r="H241" s="3" t="s">
        <v>81</v>
      </c>
      <c r="I241" s="3" t="s">
        <v>19</v>
      </c>
      <c r="J241" s="10" t="s">
        <v>11</v>
      </c>
      <c r="K241" s="3" t="s">
        <v>666</v>
      </c>
      <c r="L241" s="3"/>
      <c r="M241" s="3"/>
      <c r="N241" s="3"/>
      <c r="O241" s="3"/>
      <c r="P241" s="3"/>
      <c r="Q241" s="3"/>
      <c r="R241" s="3"/>
      <c r="S241" s="3"/>
    </row>
    <row r="242" spans="1:19" ht="101.25" x14ac:dyDescent="0.25">
      <c r="A242" s="3"/>
      <c r="B242" s="1">
        <v>247</v>
      </c>
      <c r="C242" s="3" t="s">
        <v>601</v>
      </c>
      <c r="D242" s="3" t="s">
        <v>602</v>
      </c>
      <c r="E242" s="40" t="s">
        <v>2789</v>
      </c>
      <c r="F242" s="4">
        <v>101920.73</v>
      </c>
      <c r="G242" s="3" t="s">
        <v>654</v>
      </c>
      <c r="H242" s="3" t="s">
        <v>667</v>
      </c>
      <c r="I242" s="3" t="s">
        <v>19</v>
      </c>
      <c r="J242" s="10" t="s">
        <v>668</v>
      </c>
      <c r="K242" s="3" t="s">
        <v>669</v>
      </c>
      <c r="L242" s="3"/>
      <c r="M242" s="3"/>
      <c r="N242" s="3"/>
      <c r="O242" s="3"/>
      <c r="P242" s="3"/>
      <c r="Q242" s="3"/>
      <c r="R242" s="3"/>
      <c r="S242" s="3"/>
    </row>
    <row r="243" spans="1:19" ht="45" x14ac:dyDescent="0.25">
      <c r="A243" s="3"/>
      <c r="B243" s="1">
        <v>248</v>
      </c>
      <c r="C243" s="3" t="s">
        <v>603</v>
      </c>
      <c r="D243" s="3" t="s">
        <v>89</v>
      </c>
      <c r="E243" s="40">
        <v>598</v>
      </c>
      <c r="F243" s="4">
        <v>700</v>
      </c>
      <c r="G243" s="3" t="s">
        <v>670</v>
      </c>
      <c r="H243" s="3" t="s">
        <v>81</v>
      </c>
      <c r="I243" s="3" t="s">
        <v>19</v>
      </c>
      <c r="J243" s="8" t="s">
        <v>3</v>
      </c>
      <c r="K243" s="3" t="s">
        <v>671</v>
      </c>
      <c r="L243" s="3"/>
      <c r="M243" s="3"/>
      <c r="N243" s="3"/>
      <c r="O243" s="3"/>
      <c r="P243" s="3"/>
      <c r="Q243" s="3"/>
      <c r="R243" s="3"/>
      <c r="S243" s="3"/>
    </row>
    <row r="244" spans="1:19" s="20" customFormat="1" ht="33.75" x14ac:dyDescent="0.25">
      <c r="A244" s="3"/>
      <c r="B244" s="3">
        <v>249</v>
      </c>
      <c r="C244" s="3" t="s">
        <v>313</v>
      </c>
      <c r="D244" s="3" t="s">
        <v>604</v>
      </c>
      <c r="E244" s="40">
        <f>1466.48+1531.2+1490.7+1548.11+1638.6+1466.46+1561.6+1454.2</f>
        <v>12157.35</v>
      </c>
      <c r="F244" s="4">
        <v>25000</v>
      </c>
      <c r="G244" s="3" t="s">
        <v>672</v>
      </c>
      <c r="H244" s="3" t="s">
        <v>673</v>
      </c>
      <c r="I244" s="3" t="s">
        <v>8</v>
      </c>
      <c r="J244" s="10"/>
      <c r="K244" s="3" t="s">
        <v>674</v>
      </c>
      <c r="L244" s="3"/>
      <c r="M244" s="3"/>
      <c r="N244" s="3"/>
      <c r="O244" s="3"/>
      <c r="P244" s="3"/>
      <c r="Q244" s="3"/>
      <c r="R244" s="3"/>
      <c r="S244" s="3"/>
    </row>
    <row r="245" spans="1:19" ht="101.25" x14ac:dyDescent="0.25">
      <c r="A245" s="3"/>
      <c r="B245" s="3">
        <v>250</v>
      </c>
      <c r="C245" s="3" t="s">
        <v>605</v>
      </c>
      <c r="D245" s="3" t="s">
        <v>606</v>
      </c>
      <c r="E245" s="40">
        <v>31622.400000000001</v>
      </c>
      <c r="F245" s="4">
        <v>31622.400000000001</v>
      </c>
      <c r="G245" s="3" t="s">
        <v>672</v>
      </c>
      <c r="H245" s="3" t="s">
        <v>81</v>
      </c>
      <c r="I245" s="3" t="s">
        <v>19</v>
      </c>
      <c r="J245" s="10" t="s">
        <v>566</v>
      </c>
      <c r="K245" s="3" t="s">
        <v>675</v>
      </c>
      <c r="L245" s="3"/>
      <c r="M245" s="3"/>
      <c r="N245" s="3"/>
      <c r="O245" s="3"/>
      <c r="P245" s="3"/>
      <c r="Q245" s="3"/>
      <c r="R245" s="3"/>
      <c r="S245" s="3"/>
    </row>
    <row r="246" spans="1:19" ht="11.25" x14ac:dyDescent="0.25">
      <c r="A246" s="3"/>
      <c r="B246" s="1">
        <v>251</v>
      </c>
      <c r="C246" s="3" t="s">
        <v>494</v>
      </c>
      <c r="D246" s="3" t="s">
        <v>607</v>
      </c>
      <c r="E246" s="40" t="s">
        <v>2467</v>
      </c>
      <c r="F246" s="4">
        <v>356</v>
      </c>
      <c r="G246" s="3" t="s">
        <v>676</v>
      </c>
      <c r="H246" s="3" t="s">
        <v>81</v>
      </c>
      <c r="I246" s="3" t="s">
        <v>8</v>
      </c>
      <c r="J246" s="17"/>
      <c r="K246" s="3" t="s">
        <v>1124</v>
      </c>
      <c r="L246" s="3"/>
      <c r="M246" s="3"/>
      <c r="N246" s="3"/>
      <c r="O246" s="3"/>
      <c r="P246" s="3"/>
      <c r="Q246" s="3"/>
      <c r="R246" s="3"/>
      <c r="S246" s="3"/>
    </row>
    <row r="247" spans="1:19" ht="45.75" x14ac:dyDescent="0.25">
      <c r="A247" s="3"/>
      <c r="B247" s="1">
        <v>252</v>
      </c>
      <c r="C247" s="3" t="s">
        <v>608</v>
      </c>
      <c r="D247" s="3" t="s">
        <v>609</v>
      </c>
      <c r="E247" s="40">
        <f>80*9</f>
        <v>720</v>
      </c>
      <c r="F247" s="4">
        <v>720</v>
      </c>
      <c r="G247" s="3" t="s">
        <v>676</v>
      </c>
      <c r="H247" s="3" t="s">
        <v>26</v>
      </c>
      <c r="I247" s="3" t="s">
        <v>19</v>
      </c>
      <c r="J247" s="8" t="s">
        <v>7</v>
      </c>
      <c r="K247" s="3" t="s">
        <v>677</v>
      </c>
      <c r="L247" s="3"/>
      <c r="M247" s="3"/>
      <c r="N247" s="3"/>
      <c r="O247" s="3"/>
      <c r="P247" s="3"/>
      <c r="Q247" s="3"/>
      <c r="R247" s="3"/>
      <c r="S247" s="3"/>
    </row>
    <row r="248" spans="1:19" ht="45" x14ac:dyDescent="0.25">
      <c r="A248" s="3"/>
      <c r="B248" s="3">
        <v>253</v>
      </c>
      <c r="C248" s="3" t="s">
        <v>274</v>
      </c>
      <c r="D248" s="3" t="s">
        <v>89</v>
      </c>
      <c r="E248" s="40" t="s">
        <v>743</v>
      </c>
      <c r="F248" s="4">
        <v>400</v>
      </c>
      <c r="G248" s="3" t="s">
        <v>676</v>
      </c>
      <c r="H248" s="3" t="s">
        <v>81</v>
      </c>
      <c r="I248" s="3" t="s">
        <v>19</v>
      </c>
      <c r="J248" s="8" t="s">
        <v>3</v>
      </c>
      <c r="K248" s="3" t="s">
        <v>678</v>
      </c>
      <c r="L248" s="3"/>
      <c r="M248" s="3"/>
      <c r="N248" s="3"/>
      <c r="O248" s="3"/>
      <c r="P248" s="3"/>
      <c r="Q248" s="3"/>
      <c r="R248" s="3"/>
      <c r="S248" s="3"/>
    </row>
    <row r="249" spans="1:19" ht="45" x14ac:dyDescent="0.25">
      <c r="A249" s="3"/>
      <c r="B249" s="3">
        <v>254</v>
      </c>
      <c r="C249" s="3" t="s">
        <v>610</v>
      </c>
      <c r="D249" s="3" t="s">
        <v>611</v>
      </c>
      <c r="E249" s="41">
        <f>9*90+180</f>
        <v>990</v>
      </c>
      <c r="F249" s="4">
        <v>990</v>
      </c>
      <c r="G249" s="3" t="s">
        <v>676</v>
      </c>
      <c r="H249" s="3" t="s">
        <v>26</v>
      </c>
      <c r="I249" s="3" t="s">
        <v>19</v>
      </c>
      <c r="J249" s="10" t="s">
        <v>11</v>
      </c>
      <c r="K249" s="3" t="s">
        <v>679</v>
      </c>
      <c r="L249" s="3"/>
      <c r="M249" s="3"/>
      <c r="N249" s="3"/>
      <c r="O249" s="3"/>
      <c r="P249" s="3"/>
      <c r="Q249" s="3"/>
      <c r="R249" s="3"/>
      <c r="S249" s="3"/>
    </row>
    <row r="250" spans="1:19" ht="45" x14ac:dyDescent="0.25">
      <c r="A250" s="3"/>
      <c r="B250" s="1">
        <v>255</v>
      </c>
      <c r="C250" s="3" t="s">
        <v>597</v>
      </c>
      <c r="D250" s="3" t="s">
        <v>83</v>
      </c>
      <c r="E250" s="40" t="s">
        <v>2790</v>
      </c>
      <c r="F250" s="4">
        <v>1731.25</v>
      </c>
      <c r="G250" s="3" t="s">
        <v>680</v>
      </c>
      <c r="H250" s="3" t="s">
        <v>81</v>
      </c>
      <c r="I250" s="3" t="s">
        <v>19</v>
      </c>
      <c r="J250" s="8" t="s">
        <v>3</v>
      </c>
      <c r="K250" s="3" t="s">
        <v>681</v>
      </c>
      <c r="L250" s="3"/>
      <c r="M250" s="3"/>
      <c r="N250" s="3"/>
      <c r="O250" s="3"/>
      <c r="P250" s="3"/>
      <c r="Q250" s="3"/>
      <c r="R250" s="3"/>
      <c r="S250" s="3"/>
    </row>
    <row r="251" spans="1:19" ht="45" x14ac:dyDescent="0.25">
      <c r="A251" s="3"/>
      <c r="B251" s="1">
        <v>256</v>
      </c>
      <c r="C251" s="3" t="s">
        <v>86</v>
      </c>
      <c r="D251" s="3" t="s">
        <v>543</v>
      </c>
      <c r="E251" s="40" t="s">
        <v>381</v>
      </c>
      <c r="F251" s="4">
        <v>2300</v>
      </c>
      <c r="G251" s="3" t="s">
        <v>680</v>
      </c>
      <c r="H251" s="3" t="s">
        <v>81</v>
      </c>
      <c r="I251" s="3" t="s">
        <v>19</v>
      </c>
      <c r="J251" s="8" t="s">
        <v>3</v>
      </c>
      <c r="K251" s="3" t="s">
        <v>682</v>
      </c>
      <c r="L251" s="3"/>
      <c r="M251" s="3"/>
      <c r="N251" s="3"/>
      <c r="O251" s="3"/>
      <c r="P251" s="3"/>
      <c r="Q251" s="3"/>
      <c r="R251" s="3"/>
      <c r="S251" s="3"/>
    </row>
    <row r="252" spans="1:19" ht="45" x14ac:dyDescent="0.25">
      <c r="A252" s="3"/>
      <c r="B252" s="3">
        <v>257</v>
      </c>
      <c r="C252" s="3" t="s">
        <v>612</v>
      </c>
      <c r="D252" s="3" t="s">
        <v>85</v>
      </c>
      <c r="E252" s="40">
        <v>740</v>
      </c>
      <c r="F252" s="4">
        <v>740</v>
      </c>
      <c r="G252" s="3" t="s">
        <v>680</v>
      </c>
      <c r="H252" s="3" t="s">
        <v>81</v>
      </c>
      <c r="I252" s="3" t="s">
        <v>19</v>
      </c>
      <c r="J252" s="8" t="s">
        <v>3</v>
      </c>
      <c r="K252" s="3" t="s">
        <v>683</v>
      </c>
      <c r="L252" s="3"/>
      <c r="M252" s="3"/>
      <c r="N252" s="3"/>
      <c r="O252" s="3"/>
      <c r="P252" s="3"/>
      <c r="Q252" s="3"/>
      <c r="R252" s="3"/>
      <c r="S252" s="3"/>
    </row>
    <row r="253" spans="1:19" ht="45" x14ac:dyDescent="0.25">
      <c r="A253" s="3"/>
      <c r="B253" s="3">
        <v>258</v>
      </c>
      <c r="C253" s="3" t="s">
        <v>603</v>
      </c>
      <c r="D253" s="3" t="s">
        <v>85</v>
      </c>
      <c r="E253" s="40">
        <v>923.88</v>
      </c>
      <c r="F253" s="4">
        <v>946.2</v>
      </c>
      <c r="G253" s="3" t="s">
        <v>680</v>
      </c>
      <c r="H253" s="3" t="s">
        <v>81</v>
      </c>
      <c r="I253" s="3" t="s">
        <v>19</v>
      </c>
      <c r="J253" s="8" t="s">
        <v>3</v>
      </c>
      <c r="K253" s="3" t="s">
        <v>684</v>
      </c>
      <c r="L253" s="3"/>
      <c r="M253" s="3"/>
      <c r="N253" s="3"/>
      <c r="O253" s="3"/>
      <c r="P253" s="3"/>
      <c r="Q253" s="3"/>
      <c r="R253" s="3"/>
      <c r="S253" s="3"/>
    </row>
    <row r="254" spans="1:19" ht="45" x14ac:dyDescent="0.25">
      <c r="A254" s="3"/>
      <c r="B254" s="1">
        <v>259</v>
      </c>
      <c r="C254" s="3" t="s">
        <v>542</v>
      </c>
      <c r="D254" s="3" t="s">
        <v>543</v>
      </c>
      <c r="E254" s="40">
        <v>31680</v>
      </c>
      <c r="F254" s="4">
        <v>34820</v>
      </c>
      <c r="G254" s="3" t="s">
        <v>680</v>
      </c>
      <c r="H254" s="3" t="s">
        <v>81</v>
      </c>
      <c r="I254" s="3" t="s">
        <v>19</v>
      </c>
      <c r="J254" s="8" t="s">
        <v>3</v>
      </c>
      <c r="K254" s="3" t="s">
        <v>685</v>
      </c>
      <c r="L254" s="3"/>
      <c r="M254" s="3"/>
      <c r="N254" s="3"/>
      <c r="O254" s="3"/>
      <c r="P254" s="3"/>
      <c r="Q254" s="3"/>
      <c r="R254" s="3"/>
      <c r="S254" s="3"/>
    </row>
    <row r="255" spans="1:19" ht="45" x14ac:dyDescent="0.25">
      <c r="A255" s="3"/>
      <c r="B255" s="1">
        <v>260</v>
      </c>
      <c r="C255" s="3" t="s">
        <v>613</v>
      </c>
      <c r="D255" s="3" t="s">
        <v>104</v>
      </c>
      <c r="E255" s="40">
        <v>455</v>
      </c>
      <c r="F255" s="4">
        <v>455</v>
      </c>
      <c r="G255" s="3" t="s">
        <v>680</v>
      </c>
      <c r="H255" s="3" t="s">
        <v>81</v>
      </c>
      <c r="I255" s="3" t="s">
        <v>19</v>
      </c>
      <c r="J255" s="8" t="s">
        <v>3</v>
      </c>
      <c r="K255" s="3" t="s">
        <v>686</v>
      </c>
      <c r="L255" s="3"/>
      <c r="M255" s="3"/>
      <c r="N255" s="3"/>
      <c r="O255" s="3"/>
      <c r="P255" s="3"/>
      <c r="Q255" s="3"/>
      <c r="R255" s="3"/>
      <c r="S255" s="3"/>
    </row>
    <row r="256" spans="1:19" ht="45" x14ac:dyDescent="0.25">
      <c r="A256" s="3"/>
      <c r="B256" s="3">
        <v>261</v>
      </c>
      <c r="C256" s="3" t="s">
        <v>405</v>
      </c>
      <c r="D256" s="3" t="s">
        <v>89</v>
      </c>
      <c r="E256" s="40">
        <v>300</v>
      </c>
      <c r="F256" s="4">
        <v>350</v>
      </c>
      <c r="G256" s="3" t="s">
        <v>680</v>
      </c>
      <c r="H256" s="3" t="s">
        <v>81</v>
      </c>
      <c r="I256" s="3" t="s">
        <v>19</v>
      </c>
      <c r="J256" s="8" t="s">
        <v>3</v>
      </c>
      <c r="K256" s="3" t="s">
        <v>687</v>
      </c>
      <c r="L256" s="3"/>
      <c r="M256" s="3"/>
      <c r="N256" s="3"/>
      <c r="O256" s="3"/>
      <c r="P256" s="3"/>
      <c r="Q256" s="3"/>
      <c r="R256" s="3"/>
      <c r="S256" s="3"/>
    </row>
    <row r="257" spans="1:19" ht="45" x14ac:dyDescent="0.25">
      <c r="A257" s="3"/>
      <c r="B257" s="3">
        <v>262</v>
      </c>
      <c r="C257" s="3" t="s">
        <v>614</v>
      </c>
      <c r="D257" s="3" t="s">
        <v>89</v>
      </c>
      <c r="E257" s="40">
        <v>300</v>
      </c>
      <c r="F257" s="4">
        <v>350</v>
      </c>
      <c r="G257" s="3" t="s">
        <v>680</v>
      </c>
      <c r="H257" s="3" t="s">
        <v>81</v>
      </c>
      <c r="I257" s="3" t="s">
        <v>19</v>
      </c>
      <c r="J257" s="8" t="s">
        <v>3</v>
      </c>
      <c r="K257" s="3" t="s">
        <v>688</v>
      </c>
      <c r="L257" s="3"/>
      <c r="M257" s="3"/>
      <c r="N257" s="3"/>
      <c r="O257" s="3"/>
      <c r="P257" s="3"/>
      <c r="Q257" s="3"/>
      <c r="R257" s="3"/>
      <c r="S257" s="3"/>
    </row>
    <row r="258" spans="1:19" ht="45" x14ac:dyDescent="0.25">
      <c r="A258" s="3"/>
      <c r="B258" s="1">
        <v>263</v>
      </c>
      <c r="C258" s="3" t="s">
        <v>405</v>
      </c>
      <c r="D258" s="3" t="s">
        <v>85</v>
      </c>
      <c r="E258" s="40">
        <v>770</v>
      </c>
      <c r="F258" s="4">
        <v>770</v>
      </c>
      <c r="G258" s="3" t="s">
        <v>680</v>
      </c>
      <c r="H258" s="3" t="s">
        <v>81</v>
      </c>
      <c r="I258" s="3" t="s">
        <v>19</v>
      </c>
      <c r="J258" s="8" t="s">
        <v>3</v>
      </c>
      <c r="K258" s="3" t="s">
        <v>689</v>
      </c>
      <c r="L258" s="3"/>
      <c r="M258" s="3"/>
      <c r="N258" s="3"/>
      <c r="O258" s="3"/>
      <c r="P258" s="3"/>
      <c r="Q258" s="3"/>
      <c r="R258" s="3"/>
      <c r="S258" s="3"/>
    </row>
    <row r="259" spans="1:19" ht="101.25" x14ac:dyDescent="0.25">
      <c r="A259" s="3"/>
      <c r="B259" s="1">
        <v>264</v>
      </c>
      <c r="C259" s="3" t="s">
        <v>615</v>
      </c>
      <c r="D259" s="3" t="s">
        <v>616</v>
      </c>
      <c r="E259" s="40">
        <v>50000</v>
      </c>
      <c r="F259" s="4">
        <v>50000</v>
      </c>
      <c r="G259" s="3" t="s">
        <v>680</v>
      </c>
      <c r="H259" s="3" t="s">
        <v>81</v>
      </c>
      <c r="I259" s="3" t="s">
        <v>19</v>
      </c>
      <c r="J259" s="10" t="s">
        <v>284</v>
      </c>
      <c r="K259" s="3" t="s">
        <v>690</v>
      </c>
      <c r="L259" s="3"/>
      <c r="M259" s="3"/>
      <c r="N259" s="3"/>
      <c r="O259" s="3"/>
      <c r="P259" s="3"/>
      <c r="Q259" s="3"/>
      <c r="R259" s="3"/>
      <c r="S259" s="3"/>
    </row>
    <row r="260" spans="1:19" ht="22.5" x14ac:dyDescent="0.25">
      <c r="A260" s="3"/>
      <c r="B260" s="3">
        <v>265</v>
      </c>
      <c r="C260" s="3" t="s">
        <v>617</v>
      </c>
      <c r="D260" s="3" t="s">
        <v>618</v>
      </c>
      <c r="E260" s="41">
        <f>28+645+1080+1080+216+648+11+195+3411+3840+399+4487+1658+1600+800+1160+1380+400+290+165+14+150+14+150+15</f>
        <v>23836</v>
      </c>
      <c r="F260" s="4">
        <v>24762</v>
      </c>
      <c r="G260" s="3" t="s">
        <v>680</v>
      </c>
      <c r="H260" s="3" t="s">
        <v>26</v>
      </c>
      <c r="I260" s="3" t="s">
        <v>9</v>
      </c>
      <c r="J260" s="8" t="s">
        <v>691</v>
      </c>
      <c r="K260" s="3"/>
      <c r="L260" s="3"/>
      <c r="M260" s="3"/>
      <c r="N260" s="3"/>
      <c r="O260" s="3"/>
      <c r="P260" s="3"/>
      <c r="Q260" s="3"/>
      <c r="R260" s="3"/>
      <c r="S260" s="3"/>
    </row>
    <row r="261" spans="1:19" ht="101.25" x14ac:dyDescent="0.25">
      <c r="A261" s="3"/>
      <c r="B261" s="3">
        <v>266</v>
      </c>
      <c r="C261" s="3" t="s">
        <v>619</v>
      </c>
      <c r="D261" s="3" t="s">
        <v>620</v>
      </c>
      <c r="E261" s="40">
        <v>4182</v>
      </c>
      <c r="F261" s="4">
        <v>4182</v>
      </c>
      <c r="G261" s="3" t="s">
        <v>680</v>
      </c>
      <c r="H261" s="3" t="s">
        <v>81</v>
      </c>
      <c r="I261" s="3" t="s">
        <v>19</v>
      </c>
      <c r="J261" s="10" t="s">
        <v>284</v>
      </c>
      <c r="K261" s="3" t="s">
        <v>692</v>
      </c>
      <c r="L261" s="3"/>
      <c r="M261" s="3"/>
      <c r="N261" s="3"/>
      <c r="O261" s="3"/>
      <c r="P261" s="3"/>
      <c r="Q261" s="3"/>
      <c r="R261" s="3"/>
      <c r="S261" s="3"/>
    </row>
    <row r="262" spans="1:19" ht="101.25" x14ac:dyDescent="0.25">
      <c r="A262" s="3"/>
      <c r="B262" s="1">
        <v>267</v>
      </c>
      <c r="C262" s="3" t="s">
        <v>621</v>
      </c>
      <c r="D262" s="3" t="s">
        <v>101</v>
      </c>
      <c r="E262" s="40">
        <v>160309.5</v>
      </c>
      <c r="F262" s="4">
        <v>191750</v>
      </c>
      <c r="G262" s="3" t="s">
        <v>680</v>
      </c>
      <c r="H262" s="3" t="s">
        <v>693</v>
      </c>
      <c r="I262" s="3" t="s">
        <v>19</v>
      </c>
      <c r="J262" s="10" t="s">
        <v>566</v>
      </c>
      <c r="K262" s="3" t="s">
        <v>694</v>
      </c>
      <c r="L262" s="3"/>
      <c r="M262" s="3"/>
      <c r="N262" s="3"/>
      <c r="O262" s="3"/>
      <c r="P262" s="3"/>
      <c r="Q262" s="3"/>
      <c r="R262" s="3"/>
      <c r="S262" s="3"/>
    </row>
    <row r="263" spans="1:19" ht="45" x14ac:dyDescent="0.25">
      <c r="A263" s="3"/>
      <c r="B263" s="3">
        <v>269</v>
      </c>
      <c r="C263" s="3" t="s">
        <v>622</v>
      </c>
      <c r="D263" s="3" t="s">
        <v>85</v>
      </c>
      <c r="E263" s="40">
        <v>35091.339999999997</v>
      </c>
      <c r="F263" s="4">
        <v>36122.75</v>
      </c>
      <c r="G263" s="3" t="s">
        <v>680</v>
      </c>
      <c r="H263" s="3" t="s">
        <v>81</v>
      </c>
      <c r="I263" s="3" t="s">
        <v>19</v>
      </c>
      <c r="J263" s="8" t="s">
        <v>3</v>
      </c>
      <c r="K263" s="3" t="s">
        <v>898</v>
      </c>
      <c r="L263" s="3"/>
      <c r="M263" s="3"/>
      <c r="N263" s="3"/>
      <c r="O263" s="3"/>
      <c r="P263" s="3"/>
      <c r="Q263" s="3"/>
      <c r="R263" s="3"/>
      <c r="S263" s="3"/>
    </row>
    <row r="264" spans="1:19" ht="45" x14ac:dyDescent="0.25">
      <c r="A264" s="3"/>
      <c r="B264" s="3">
        <v>270</v>
      </c>
      <c r="C264" s="3" t="s">
        <v>103</v>
      </c>
      <c r="D264" s="3" t="s">
        <v>104</v>
      </c>
      <c r="E264" s="40">
        <v>794</v>
      </c>
      <c r="F264" s="4">
        <v>794</v>
      </c>
      <c r="G264" s="3" t="s">
        <v>680</v>
      </c>
      <c r="H264" s="3" t="s">
        <v>81</v>
      </c>
      <c r="I264" s="3" t="s">
        <v>19</v>
      </c>
      <c r="J264" s="8" t="s">
        <v>3</v>
      </c>
      <c r="K264" s="3" t="s">
        <v>695</v>
      </c>
      <c r="L264" s="3"/>
      <c r="M264" s="3"/>
      <c r="N264" s="3"/>
      <c r="O264" s="3"/>
      <c r="P264" s="3"/>
      <c r="Q264" s="3"/>
      <c r="R264" s="3"/>
      <c r="S264" s="3"/>
    </row>
    <row r="265" spans="1:19" ht="45" x14ac:dyDescent="0.25">
      <c r="A265" s="3"/>
      <c r="B265" s="1">
        <v>271</v>
      </c>
      <c r="C265" s="3" t="s">
        <v>623</v>
      </c>
      <c r="D265" s="3" t="s">
        <v>104</v>
      </c>
      <c r="E265" s="40">
        <v>3742</v>
      </c>
      <c r="F265" s="4">
        <v>3742</v>
      </c>
      <c r="G265" s="3" t="s">
        <v>680</v>
      </c>
      <c r="H265" s="3" t="s">
        <v>81</v>
      </c>
      <c r="I265" s="3" t="s">
        <v>19</v>
      </c>
      <c r="J265" s="8" t="s">
        <v>3</v>
      </c>
      <c r="K265" s="3" t="s">
        <v>696</v>
      </c>
      <c r="L265" s="3"/>
      <c r="M265" s="3"/>
      <c r="N265" s="3"/>
      <c r="O265" s="3"/>
      <c r="P265" s="3"/>
      <c r="Q265" s="3"/>
      <c r="R265" s="3"/>
      <c r="S265" s="3"/>
    </row>
    <row r="266" spans="1:19" ht="45" x14ac:dyDescent="0.25">
      <c r="A266" s="3"/>
      <c r="B266" s="1">
        <v>272</v>
      </c>
      <c r="C266" s="3" t="s">
        <v>624</v>
      </c>
      <c r="D266" s="3" t="s">
        <v>104</v>
      </c>
      <c r="E266" s="40" t="s">
        <v>2791</v>
      </c>
      <c r="F266" s="4">
        <v>2751.5</v>
      </c>
      <c r="G266" s="3" t="s">
        <v>680</v>
      </c>
      <c r="H266" s="3" t="s">
        <v>81</v>
      </c>
      <c r="I266" s="3" t="s">
        <v>19</v>
      </c>
      <c r="J266" s="8" t="s">
        <v>3</v>
      </c>
      <c r="K266" s="3" t="s">
        <v>753</v>
      </c>
      <c r="L266" s="3"/>
      <c r="M266" s="3"/>
      <c r="N266" s="3"/>
      <c r="O266" s="3"/>
      <c r="P266" s="3"/>
      <c r="Q266" s="3"/>
      <c r="R266" s="3"/>
      <c r="S266" s="3"/>
    </row>
    <row r="267" spans="1:19" ht="45" x14ac:dyDescent="0.25">
      <c r="A267" s="3"/>
      <c r="B267" s="3">
        <v>273</v>
      </c>
      <c r="C267" s="3" t="s">
        <v>103</v>
      </c>
      <c r="D267" s="3" t="s">
        <v>104</v>
      </c>
      <c r="E267" s="40">
        <v>2960</v>
      </c>
      <c r="F267" s="4">
        <v>3000</v>
      </c>
      <c r="G267" s="3" t="s">
        <v>680</v>
      </c>
      <c r="H267" s="3" t="s">
        <v>81</v>
      </c>
      <c r="I267" s="3" t="s">
        <v>19</v>
      </c>
      <c r="J267" s="8" t="s">
        <v>3</v>
      </c>
      <c r="K267" s="3" t="s">
        <v>697</v>
      </c>
      <c r="L267" s="3"/>
      <c r="M267" s="3"/>
      <c r="N267" s="3"/>
      <c r="O267" s="3"/>
      <c r="P267" s="3"/>
      <c r="Q267" s="3"/>
      <c r="R267" s="3"/>
      <c r="S267" s="3"/>
    </row>
    <row r="268" spans="1:19" ht="45" x14ac:dyDescent="0.25">
      <c r="A268" s="3"/>
      <c r="B268" s="3">
        <v>274</v>
      </c>
      <c r="C268" s="3" t="s">
        <v>624</v>
      </c>
      <c r="D268" s="3" t="s">
        <v>104</v>
      </c>
      <c r="E268" s="40">
        <v>5332</v>
      </c>
      <c r="F268" s="4">
        <v>5332</v>
      </c>
      <c r="G268" s="3" t="s">
        <v>680</v>
      </c>
      <c r="H268" s="3" t="s">
        <v>81</v>
      </c>
      <c r="I268" s="3" t="s">
        <v>19</v>
      </c>
      <c r="J268" s="8" t="s">
        <v>3</v>
      </c>
      <c r="K268" s="3" t="s">
        <v>752</v>
      </c>
      <c r="L268" s="3"/>
      <c r="M268" s="3"/>
      <c r="N268" s="3"/>
      <c r="O268" s="3"/>
      <c r="P268" s="3"/>
      <c r="Q268" s="3"/>
      <c r="R268" s="3"/>
      <c r="S268" s="3"/>
    </row>
    <row r="269" spans="1:19" ht="45" x14ac:dyDescent="0.25">
      <c r="A269" s="3"/>
      <c r="B269" s="1">
        <v>275</v>
      </c>
      <c r="C269" s="3" t="s">
        <v>103</v>
      </c>
      <c r="D269" s="3" t="s">
        <v>104</v>
      </c>
      <c r="E269" s="40">
        <v>4410</v>
      </c>
      <c r="F269" s="4">
        <v>4410</v>
      </c>
      <c r="G269" s="3" t="s">
        <v>680</v>
      </c>
      <c r="H269" s="3" t="s">
        <v>81</v>
      </c>
      <c r="I269" s="3" t="s">
        <v>19</v>
      </c>
      <c r="J269" s="8" t="s">
        <v>3</v>
      </c>
      <c r="K269" s="3" t="s">
        <v>698</v>
      </c>
      <c r="L269" s="3"/>
      <c r="M269" s="3"/>
      <c r="N269" s="3"/>
      <c r="O269" s="3"/>
      <c r="P269" s="3"/>
      <c r="Q269" s="3"/>
      <c r="R269" s="3"/>
      <c r="S269" s="3"/>
    </row>
    <row r="270" spans="1:19" ht="45" x14ac:dyDescent="0.25">
      <c r="A270" s="3"/>
      <c r="B270" s="1">
        <v>276</v>
      </c>
      <c r="C270" s="3" t="s">
        <v>103</v>
      </c>
      <c r="D270" s="3" t="s">
        <v>104</v>
      </c>
      <c r="E270" s="40" t="s">
        <v>2792</v>
      </c>
      <c r="F270" s="4">
        <v>7799.2</v>
      </c>
      <c r="G270" s="3" t="s">
        <v>680</v>
      </c>
      <c r="H270" s="3" t="s">
        <v>81</v>
      </c>
      <c r="I270" s="3" t="s">
        <v>19</v>
      </c>
      <c r="J270" s="8" t="s">
        <v>3</v>
      </c>
      <c r="K270" s="3" t="s">
        <v>751</v>
      </c>
      <c r="L270" s="3"/>
      <c r="M270" s="3"/>
      <c r="N270" s="3"/>
      <c r="O270" s="3"/>
      <c r="P270" s="3"/>
      <c r="Q270" s="3"/>
      <c r="R270" s="3"/>
      <c r="S270" s="3"/>
    </row>
    <row r="271" spans="1:19" ht="45" x14ac:dyDescent="0.25">
      <c r="A271" s="3"/>
      <c r="B271" s="3">
        <v>277</v>
      </c>
      <c r="C271" s="3" t="s">
        <v>103</v>
      </c>
      <c r="D271" s="3" t="s">
        <v>104</v>
      </c>
      <c r="E271" s="40" t="s">
        <v>2793</v>
      </c>
      <c r="F271" s="26" t="s">
        <v>2793</v>
      </c>
      <c r="G271" s="3" t="s">
        <v>680</v>
      </c>
      <c r="H271" s="3" t="s">
        <v>81</v>
      </c>
      <c r="I271" s="3" t="s">
        <v>19</v>
      </c>
      <c r="J271" s="8" t="s">
        <v>3</v>
      </c>
      <c r="K271" s="3" t="s">
        <v>699</v>
      </c>
      <c r="L271" s="3"/>
      <c r="M271" s="3"/>
      <c r="N271" s="3"/>
      <c r="O271" s="3"/>
      <c r="P271" s="3"/>
      <c r="Q271" s="3"/>
      <c r="R271" s="3"/>
      <c r="S271" s="3"/>
    </row>
    <row r="272" spans="1:19" ht="45" x14ac:dyDescent="0.25">
      <c r="A272" s="3"/>
      <c r="B272" s="3">
        <v>278</v>
      </c>
      <c r="C272" s="3" t="s">
        <v>624</v>
      </c>
      <c r="D272" s="3" t="s">
        <v>104</v>
      </c>
      <c r="E272" s="40">
        <v>1232.7</v>
      </c>
      <c r="F272" s="4">
        <v>1232.7</v>
      </c>
      <c r="G272" s="3" t="s">
        <v>680</v>
      </c>
      <c r="H272" s="3" t="s">
        <v>81</v>
      </c>
      <c r="I272" s="3" t="s">
        <v>19</v>
      </c>
      <c r="J272" s="8" t="s">
        <v>3</v>
      </c>
      <c r="K272" s="3" t="s">
        <v>700</v>
      </c>
      <c r="L272" s="3"/>
      <c r="M272" s="3"/>
      <c r="N272" s="3"/>
      <c r="O272" s="3"/>
      <c r="P272" s="3"/>
      <c r="Q272" s="3"/>
      <c r="R272" s="3"/>
      <c r="S272" s="3"/>
    </row>
    <row r="273" spans="1:253" ht="45" x14ac:dyDescent="0.25">
      <c r="A273" s="3"/>
      <c r="B273" s="1">
        <v>279</v>
      </c>
      <c r="C273" s="3" t="s">
        <v>103</v>
      </c>
      <c r="D273" s="3" t="s">
        <v>104</v>
      </c>
      <c r="E273" s="40">
        <v>1230</v>
      </c>
      <c r="F273" s="4">
        <v>1230</v>
      </c>
      <c r="G273" s="3" t="s">
        <v>680</v>
      </c>
      <c r="H273" s="3" t="s">
        <v>81</v>
      </c>
      <c r="I273" s="3" t="s">
        <v>19</v>
      </c>
      <c r="J273" s="8" t="s">
        <v>3</v>
      </c>
      <c r="K273" s="3" t="s">
        <v>701</v>
      </c>
      <c r="L273" s="3"/>
      <c r="M273" s="3"/>
      <c r="N273" s="3"/>
      <c r="O273" s="3"/>
      <c r="P273" s="3"/>
      <c r="Q273" s="3"/>
      <c r="R273" s="3"/>
      <c r="S273" s="3"/>
    </row>
    <row r="274" spans="1:253" ht="45" x14ac:dyDescent="0.25">
      <c r="A274" s="3"/>
      <c r="B274" s="1">
        <v>280</v>
      </c>
      <c r="C274" s="3" t="s">
        <v>623</v>
      </c>
      <c r="D274" s="3" t="s">
        <v>104</v>
      </c>
      <c r="E274" s="40">
        <v>3040</v>
      </c>
      <c r="F274" s="4">
        <v>3040</v>
      </c>
      <c r="G274" s="3" t="s">
        <v>680</v>
      </c>
      <c r="H274" s="3" t="s">
        <v>81</v>
      </c>
      <c r="I274" s="3" t="s">
        <v>19</v>
      </c>
      <c r="J274" s="8" t="s">
        <v>3</v>
      </c>
      <c r="K274" s="3" t="s">
        <v>702</v>
      </c>
      <c r="L274" s="3"/>
      <c r="M274" s="3"/>
      <c r="N274" s="3"/>
      <c r="O274" s="3"/>
      <c r="P274" s="3"/>
      <c r="Q274" s="3"/>
      <c r="R274" s="3"/>
      <c r="S274" s="3"/>
    </row>
    <row r="275" spans="1:253" ht="45" x14ac:dyDescent="0.25">
      <c r="A275" s="3"/>
      <c r="B275" s="3">
        <v>281</v>
      </c>
      <c r="C275" s="3" t="s">
        <v>624</v>
      </c>
      <c r="D275" s="3" t="s">
        <v>104</v>
      </c>
      <c r="E275" s="40">
        <v>2812.5</v>
      </c>
      <c r="F275" s="4">
        <v>2812.5</v>
      </c>
      <c r="G275" s="3" t="s">
        <v>680</v>
      </c>
      <c r="H275" s="3" t="s">
        <v>81</v>
      </c>
      <c r="I275" s="3" t="s">
        <v>19</v>
      </c>
      <c r="J275" s="8" t="s">
        <v>3</v>
      </c>
      <c r="K275" s="3" t="s">
        <v>754</v>
      </c>
      <c r="L275" s="3"/>
      <c r="M275" s="3"/>
      <c r="N275" s="3"/>
      <c r="O275" s="3"/>
      <c r="P275" s="3"/>
      <c r="Q275" s="3"/>
      <c r="R275" s="3"/>
      <c r="S275" s="3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  <c r="IR275" s="21"/>
      <c r="IS275" s="21"/>
    </row>
    <row r="276" spans="1:253" ht="45" x14ac:dyDescent="0.25">
      <c r="A276" s="3"/>
      <c r="B276" s="3">
        <v>282</v>
      </c>
      <c r="C276" s="3" t="s">
        <v>623</v>
      </c>
      <c r="D276" s="3" t="s">
        <v>104</v>
      </c>
      <c r="E276" s="40">
        <v>2876</v>
      </c>
      <c r="F276" s="4">
        <v>2876</v>
      </c>
      <c r="G276" s="3" t="s">
        <v>680</v>
      </c>
      <c r="H276" s="3" t="s">
        <v>81</v>
      </c>
      <c r="I276" s="3" t="s">
        <v>19</v>
      </c>
      <c r="J276" s="8" t="s">
        <v>3</v>
      </c>
      <c r="K276" s="3" t="s">
        <v>703</v>
      </c>
      <c r="L276" s="3"/>
      <c r="M276" s="3"/>
      <c r="N276" s="3"/>
      <c r="O276" s="3"/>
      <c r="P276" s="3"/>
      <c r="Q276" s="3"/>
      <c r="R276" s="3"/>
      <c r="S276" s="3"/>
    </row>
    <row r="277" spans="1:253" ht="45" x14ac:dyDescent="0.25">
      <c r="A277" s="3"/>
      <c r="B277" s="1">
        <v>283</v>
      </c>
      <c r="C277" s="3" t="s">
        <v>624</v>
      </c>
      <c r="D277" s="3" t="s">
        <v>104</v>
      </c>
      <c r="E277" s="40" t="s">
        <v>756</v>
      </c>
      <c r="F277" s="4">
        <v>4518.7</v>
      </c>
      <c r="G277" s="3" t="s">
        <v>680</v>
      </c>
      <c r="H277" s="3" t="s">
        <v>81</v>
      </c>
      <c r="I277" s="3" t="s">
        <v>19</v>
      </c>
      <c r="J277" s="8" t="s">
        <v>3</v>
      </c>
      <c r="K277" s="3" t="s">
        <v>755</v>
      </c>
      <c r="L277" s="3"/>
      <c r="M277" s="3"/>
      <c r="N277" s="3"/>
      <c r="O277" s="3"/>
      <c r="P277" s="3"/>
      <c r="Q277" s="3"/>
      <c r="R277" s="3"/>
      <c r="S277" s="3"/>
    </row>
    <row r="278" spans="1:253" ht="45" x14ac:dyDescent="0.25">
      <c r="A278" s="3"/>
      <c r="B278" s="1">
        <v>284</v>
      </c>
      <c r="C278" s="3" t="s">
        <v>444</v>
      </c>
      <c r="D278" s="3" t="s">
        <v>543</v>
      </c>
      <c r="E278" s="40" t="s">
        <v>895</v>
      </c>
      <c r="F278" s="4">
        <v>3000</v>
      </c>
      <c r="G278" s="3" t="s">
        <v>704</v>
      </c>
      <c r="H278" s="3" t="s">
        <v>81</v>
      </c>
      <c r="I278" s="3" t="s">
        <v>19</v>
      </c>
      <c r="J278" s="8" t="s">
        <v>3</v>
      </c>
      <c r="K278" s="3" t="s">
        <v>705</v>
      </c>
      <c r="L278" s="3"/>
      <c r="M278" s="3"/>
      <c r="N278" s="3"/>
      <c r="O278" s="3"/>
      <c r="P278" s="3"/>
      <c r="Q278" s="3"/>
      <c r="R278" s="3"/>
      <c r="S278" s="3"/>
    </row>
    <row r="279" spans="1:253" ht="45" x14ac:dyDescent="0.25">
      <c r="A279" s="3"/>
      <c r="B279" s="3">
        <v>285</v>
      </c>
      <c r="C279" s="3" t="s">
        <v>444</v>
      </c>
      <c r="D279" s="3" t="s">
        <v>83</v>
      </c>
      <c r="E279" s="40" t="s">
        <v>888</v>
      </c>
      <c r="F279" s="4">
        <v>1200</v>
      </c>
      <c r="G279" s="3" t="s">
        <v>704</v>
      </c>
      <c r="H279" s="3" t="s">
        <v>81</v>
      </c>
      <c r="I279" s="3" t="s">
        <v>19</v>
      </c>
      <c r="J279" s="8" t="s">
        <v>3</v>
      </c>
      <c r="K279" s="3" t="s">
        <v>706</v>
      </c>
      <c r="L279" s="3"/>
      <c r="M279" s="3"/>
      <c r="N279" s="3"/>
      <c r="O279" s="3"/>
      <c r="P279" s="3"/>
      <c r="Q279" s="3"/>
      <c r="R279" s="3"/>
      <c r="S279" s="3"/>
    </row>
    <row r="280" spans="1:253" ht="45" x14ac:dyDescent="0.25">
      <c r="A280" s="3"/>
      <c r="B280" s="3">
        <v>286</v>
      </c>
      <c r="C280" s="3" t="s">
        <v>625</v>
      </c>
      <c r="D280" s="3" t="s">
        <v>85</v>
      </c>
      <c r="E280" s="40" t="s">
        <v>1110</v>
      </c>
      <c r="F280" s="4">
        <v>1096.5</v>
      </c>
      <c r="G280" s="3" t="s">
        <v>704</v>
      </c>
      <c r="H280" s="3" t="s">
        <v>81</v>
      </c>
      <c r="I280" s="3" t="s">
        <v>19</v>
      </c>
      <c r="J280" s="8" t="s">
        <v>3</v>
      </c>
      <c r="K280" s="3" t="s">
        <v>707</v>
      </c>
      <c r="L280" s="3"/>
      <c r="M280" s="3"/>
      <c r="N280" s="3"/>
      <c r="O280" s="3"/>
      <c r="P280" s="3"/>
      <c r="Q280" s="3"/>
      <c r="R280" s="3"/>
      <c r="S280" s="3"/>
    </row>
    <row r="281" spans="1:253" ht="45" x14ac:dyDescent="0.25">
      <c r="A281" s="3"/>
      <c r="B281" s="1">
        <v>287</v>
      </c>
      <c r="C281" s="3" t="s">
        <v>589</v>
      </c>
      <c r="D281" s="3" t="s">
        <v>89</v>
      </c>
      <c r="E281" s="40">
        <v>73</v>
      </c>
      <c r="F281" s="4">
        <v>100</v>
      </c>
      <c r="G281" s="3" t="s">
        <v>704</v>
      </c>
      <c r="H281" s="3" t="s">
        <v>81</v>
      </c>
      <c r="I281" s="3" t="s">
        <v>19</v>
      </c>
      <c r="J281" s="8" t="s">
        <v>3</v>
      </c>
      <c r="K281" s="3" t="s">
        <v>708</v>
      </c>
      <c r="L281" s="3"/>
      <c r="M281" s="3"/>
      <c r="N281" s="3"/>
      <c r="O281" s="3"/>
      <c r="P281" s="3"/>
      <c r="Q281" s="3"/>
      <c r="R281" s="3"/>
      <c r="S281" s="3"/>
    </row>
    <row r="282" spans="1:253" ht="45" x14ac:dyDescent="0.25">
      <c r="A282" s="3"/>
      <c r="B282" s="1">
        <v>288</v>
      </c>
      <c r="C282" s="3" t="s">
        <v>626</v>
      </c>
      <c r="D282" s="3" t="s">
        <v>89</v>
      </c>
      <c r="E282" s="40">
        <v>100</v>
      </c>
      <c r="F282" s="4">
        <v>100</v>
      </c>
      <c r="G282" s="3" t="s">
        <v>704</v>
      </c>
      <c r="H282" s="3" t="s">
        <v>81</v>
      </c>
      <c r="I282" s="3" t="s">
        <v>19</v>
      </c>
      <c r="J282" s="8" t="s">
        <v>3</v>
      </c>
      <c r="K282" s="3" t="s">
        <v>709</v>
      </c>
      <c r="L282" s="3"/>
      <c r="M282" s="3"/>
      <c r="N282" s="3"/>
      <c r="O282" s="3"/>
      <c r="P282" s="3"/>
      <c r="Q282" s="3"/>
      <c r="R282" s="3"/>
      <c r="S282" s="3"/>
    </row>
    <row r="283" spans="1:253" ht="45" x14ac:dyDescent="0.25">
      <c r="A283" s="3"/>
      <c r="B283" s="3">
        <v>289</v>
      </c>
      <c r="C283" s="3" t="s">
        <v>627</v>
      </c>
      <c r="D283" s="3" t="s">
        <v>83</v>
      </c>
      <c r="E283" s="40">
        <v>375</v>
      </c>
      <c r="F283" s="4">
        <v>375</v>
      </c>
      <c r="G283" s="3" t="s">
        <v>704</v>
      </c>
      <c r="H283" s="3" t="s">
        <v>81</v>
      </c>
      <c r="I283" s="3" t="s">
        <v>19</v>
      </c>
      <c r="J283" s="8" t="s">
        <v>3</v>
      </c>
      <c r="K283" s="3" t="s">
        <v>710</v>
      </c>
      <c r="L283" s="3"/>
      <c r="M283" s="3"/>
      <c r="N283" s="3"/>
      <c r="O283" s="3"/>
      <c r="P283" s="3"/>
      <c r="Q283" s="3"/>
      <c r="R283" s="3"/>
      <c r="S283" s="3"/>
    </row>
    <row r="284" spans="1:253" ht="45" x14ac:dyDescent="0.25">
      <c r="A284" s="3"/>
      <c r="B284" s="3">
        <v>290</v>
      </c>
      <c r="C284" s="3" t="s">
        <v>628</v>
      </c>
      <c r="D284" s="3" t="s">
        <v>83</v>
      </c>
      <c r="E284" s="40">
        <v>187.5</v>
      </c>
      <c r="F284" s="4">
        <v>187.5</v>
      </c>
      <c r="G284" s="3" t="s">
        <v>704</v>
      </c>
      <c r="H284" s="3" t="s">
        <v>81</v>
      </c>
      <c r="I284" s="3" t="s">
        <v>19</v>
      </c>
      <c r="J284" s="8" t="s">
        <v>3</v>
      </c>
      <c r="K284" s="3" t="s">
        <v>711</v>
      </c>
      <c r="L284" s="3"/>
      <c r="M284" s="3"/>
      <c r="N284" s="3"/>
      <c r="O284" s="3"/>
      <c r="P284" s="3"/>
      <c r="Q284" s="3"/>
      <c r="R284" s="3"/>
      <c r="S284" s="3"/>
    </row>
    <row r="285" spans="1:253" ht="45" x14ac:dyDescent="0.25">
      <c r="A285" s="3"/>
      <c r="B285" s="1">
        <v>291</v>
      </c>
      <c r="C285" s="3" t="s">
        <v>262</v>
      </c>
      <c r="D285" s="3" t="s">
        <v>83</v>
      </c>
      <c r="E285" s="40">
        <v>250</v>
      </c>
      <c r="F285" s="4">
        <v>250</v>
      </c>
      <c r="G285" s="3" t="s">
        <v>704</v>
      </c>
      <c r="H285" s="3" t="s">
        <v>81</v>
      </c>
      <c r="I285" s="3" t="s">
        <v>19</v>
      </c>
      <c r="J285" s="8" t="s">
        <v>3</v>
      </c>
      <c r="K285" s="3" t="s">
        <v>712</v>
      </c>
      <c r="L285" s="3"/>
      <c r="M285" s="3"/>
      <c r="N285" s="3"/>
      <c r="O285" s="3"/>
      <c r="P285" s="3"/>
      <c r="Q285" s="3"/>
      <c r="R285" s="3"/>
      <c r="S285" s="3"/>
    </row>
    <row r="286" spans="1:253" ht="45" x14ac:dyDescent="0.25">
      <c r="A286" s="3"/>
      <c r="B286" s="1">
        <v>292</v>
      </c>
      <c r="C286" s="3" t="s">
        <v>275</v>
      </c>
      <c r="D286" s="3" t="s">
        <v>83</v>
      </c>
      <c r="E286" s="41">
        <v>150</v>
      </c>
      <c r="F286" s="4">
        <v>150</v>
      </c>
      <c r="G286" s="3" t="s">
        <v>704</v>
      </c>
      <c r="H286" s="3" t="s">
        <v>81</v>
      </c>
      <c r="I286" s="3" t="s">
        <v>19</v>
      </c>
      <c r="J286" s="8" t="s">
        <v>3</v>
      </c>
      <c r="K286" s="3" t="s">
        <v>713</v>
      </c>
      <c r="L286" s="3"/>
      <c r="M286" s="3"/>
      <c r="N286" s="3"/>
      <c r="O286" s="3"/>
      <c r="P286" s="3"/>
      <c r="Q286" s="3"/>
      <c r="R286" s="3"/>
      <c r="S286" s="3"/>
    </row>
    <row r="287" spans="1:253" ht="45" x14ac:dyDescent="0.25">
      <c r="A287" s="3"/>
      <c r="B287" s="3">
        <v>293</v>
      </c>
      <c r="C287" s="3" t="s">
        <v>614</v>
      </c>
      <c r="D287" s="3" t="s">
        <v>89</v>
      </c>
      <c r="E287" s="40" t="s">
        <v>759</v>
      </c>
      <c r="F287" s="4">
        <v>1150</v>
      </c>
      <c r="G287" s="3" t="s">
        <v>704</v>
      </c>
      <c r="H287" s="3" t="s">
        <v>81</v>
      </c>
      <c r="I287" s="3" t="s">
        <v>19</v>
      </c>
      <c r="J287" s="8" t="s">
        <v>3</v>
      </c>
      <c r="K287" s="3" t="s">
        <v>714</v>
      </c>
      <c r="L287" s="3"/>
      <c r="M287" s="3"/>
      <c r="N287" s="3"/>
      <c r="O287" s="3"/>
      <c r="P287" s="3"/>
      <c r="Q287" s="3"/>
      <c r="R287" s="3"/>
      <c r="S287" s="3"/>
    </row>
    <row r="288" spans="1:253" ht="45" x14ac:dyDescent="0.25">
      <c r="A288" s="3"/>
      <c r="B288" s="3">
        <v>294</v>
      </c>
      <c r="C288" s="3" t="s">
        <v>169</v>
      </c>
      <c r="D288" s="3" t="s">
        <v>543</v>
      </c>
      <c r="E288" s="40" t="s">
        <v>766</v>
      </c>
      <c r="F288" s="4">
        <v>3490</v>
      </c>
      <c r="G288" s="3" t="s">
        <v>704</v>
      </c>
      <c r="H288" s="3" t="s">
        <v>81</v>
      </c>
      <c r="I288" s="3" t="s">
        <v>19</v>
      </c>
      <c r="J288" s="8" t="s">
        <v>3</v>
      </c>
      <c r="K288" s="3" t="s">
        <v>715</v>
      </c>
      <c r="L288" s="3"/>
      <c r="M288" s="3"/>
      <c r="N288" s="3"/>
      <c r="O288" s="3"/>
      <c r="P288" s="3"/>
      <c r="Q288" s="3"/>
      <c r="R288" s="3"/>
      <c r="S288" s="3"/>
    </row>
    <row r="289" spans="1:19" ht="45" x14ac:dyDescent="0.25">
      <c r="A289" s="3"/>
      <c r="B289" s="1">
        <v>295</v>
      </c>
      <c r="C289" s="3" t="s">
        <v>393</v>
      </c>
      <c r="D289" s="3" t="s">
        <v>83</v>
      </c>
      <c r="E289" s="40" t="s">
        <v>748</v>
      </c>
      <c r="F289" s="4">
        <v>2192.5</v>
      </c>
      <c r="G289" s="3" t="s">
        <v>704</v>
      </c>
      <c r="H289" s="3" t="s">
        <v>81</v>
      </c>
      <c r="I289" s="3" t="s">
        <v>19</v>
      </c>
      <c r="J289" s="8" t="s">
        <v>3</v>
      </c>
      <c r="K289" s="3" t="s">
        <v>716</v>
      </c>
      <c r="L289" s="3"/>
      <c r="M289" s="3"/>
      <c r="N289" s="3"/>
      <c r="O289" s="3"/>
      <c r="P289" s="3"/>
      <c r="Q289" s="3"/>
      <c r="R289" s="3"/>
      <c r="S289" s="3"/>
    </row>
    <row r="290" spans="1:19" ht="45" x14ac:dyDescent="0.25">
      <c r="A290" s="3"/>
      <c r="B290" s="1">
        <v>296</v>
      </c>
      <c r="C290" s="3" t="s">
        <v>629</v>
      </c>
      <c r="D290" s="3" t="s">
        <v>630</v>
      </c>
      <c r="E290" s="40" t="s">
        <v>515</v>
      </c>
      <c r="F290" s="4">
        <v>30</v>
      </c>
      <c r="G290" s="3" t="s">
        <v>704</v>
      </c>
      <c r="H290" s="3" t="s">
        <v>81</v>
      </c>
      <c r="I290" s="3" t="s">
        <v>19</v>
      </c>
      <c r="J290" s="8" t="s">
        <v>3</v>
      </c>
      <c r="K290" s="3" t="s">
        <v>717</v>
      </c>
      <c r="L290" s="3"/>
      <c r="M290" s="3"/>
      <c r="N290" s="3"/>
      <c r="O290" s="3"/>
      <c r="P290" s="3"/>
      <c r="Q290" s="3"/>
      <c r="R290" s="3"/>
      <c r="S290" s="3"/>
    </row>
    <row r="291" spans="1:19" ht="45" x14ac:dyDescent="0.25">
      <c r="A291" s="3"/>
      <c r="B291" s="3">
        <v>297</v>
      </c>
      <c r="C291" s="3" t="s">
        <v>133</v>
      </c>
      <c r="D291" s="3" t="s">
        <v>297</v>
      </c>
      <c r="E291" s="40">
        <v>755.2</v>
      </c>
      <c r="F291" s="4">
        <v>755.2</v>
      </c>
      <c r="G291" s="3" t="s">
        <v>704</v>
      </c>
      <c r="H291" s="3" t="s">
        <v>81</v>
      </c>
      <c r="I291" s="3" t="s">
        <v>19</v>
      </c>
      <c r="J291" s="8" t="s">
        <v>3</v>
      </c>
      <c r="K291" s="3" t="s">
        <v>920</v>
      </c>
      <c r="L291" s="3"/>
      <c r="M291" s="3"/>
      <c r="N291" s="3"/>
      <c r="O291" s="3"/>
      <c r="P291" s="3"/>
      <c r="Q291" s="3"/>
      <c r="R291" s="3"/>
      <c r="S291" s="3"/>
    </row>
    <row r="292" spans="1:19" ht="45.75" x14ac:dyDescent="0.25">
      <c r="A292" s="3"/>
      <c r="B292" s="3">
        <v>298</v>
      </c>
      <c r="C292" s="3" t="s">
        <v>631</v>
      </c>
      <c r="D292" s="3" t="s">
        <v>632</v>
      </c>
      <c r="E292" s="40">
        <v>50</v>
      </c>
      <c r="F292" s="4">
        <v>50</v>
      </c>
      <c r="G292" s="3" t="s">
        <v>704</v>
      </c>
      <c r="H292" s="3" t="s">
        <v>81</v>
      </c>
      <c r="I292" s="3" t="s">
        <v>19</v>
      </c>
      <c r="J292" s="8" t="s">
        <v>7</v>
      </c>
      <c r="K292" s="3" t="s">
        <v>718</v>
      </c>
      <c r="L292" s="3"/>
      <c r="M292" s="3"/>
      <c r="N292" s="3"/>
      <c r="O292" s="3"/>
      <c r="P292" s="3"/>
      <c r="Q292" s="3"/>
      <c r="R292" s="3"/>
      <c r="S292" s="3"/>
    </row>
    <row r="293" spans="1:19" ht="101.25" x14ac:dyDescent="0.25">
      <c r="A293" s="3"/>
      <c r="B293" s="1">
        <v>299</v>
      </c>
      <c r="C293" s="3" t="s">
        <v>633</v>
      </c>
      <c r="D293" s="3" t="s">
        <v>634</v>
      </c>
      <c r="E293" s="40">
        <f>3000+80000</f>
        <v>83000</v>
      </c>
      <c r="F293" s="4">
        <v>83000</v>
      </c>
      <c r="G293" s="3" t="s">
        <v>704</v>
      </c>
      <c r="H293" s="3" t="s">
        <v>81</v>
      </c>
      <c r="I293" s="3" t="s">
        <v>19</v>
      </c>
      <c r="J293" s="10" t="s">
        <v>284</v>
      </c>
      <c r="K293" s="3" t="s">
        <v>719</v>
      </c>
      <c r="L293" s="3"/>
      <c r="M293" s="3"/>
      <c r="N293" s="3"/>
      <c r="O293" s="3"/>
      <c r="P293" s="3"/>
      <c r="Q293" s="3"/>
      <c r="R293" s="3"/>
      <c r="S293" s="3"/>
    </row>
    <row r="294" spans="1:19" ht="45.75" x14ac:dyDescent="0.25">
      <c r="A294" s="3"/>
      <c r="B294" s="1">
        <v>300</v>
      </c>
      <c r="C294" s="3" t="s">
        <v>635</v>
      </c>
      <c r="D294" s="3" t="s">
        <v>636</v>
      </c>
      <c r="E294" s="40">
        <v>71</v>
      </c>
      <c r="F294" s="4">
        <v>71</v>
      </c>
      <c r="G294" s="3" t="s">
        <v>704</v>
      </c>
      <c r="H294" s="3" t="s">
        <v>81</v>
      </c>
      <c r="I294" s="3" t="s">
        <v>19</v>
      </c>
      <c r="J294" s="8" t="s">
        <v>7</v>
      </c>
      <c r="K294" s="3" t="s">
        <v>720</v>
      </c>
      <c r="L294" s="3"/>
      <c r="M294" s="3"/>
      <c r="N294" s="3"/>
      <c r="O294" s="3"/>
      <c r="P294" s="3"/>
      <c r="Q294" s="3"/>
      <c r="R294" s="3"/>
      <c r="S294" s="3"/>
    </row>
    <row r="295" spans="1:19" ht="45" x14ac:dyDescent="0.25">
      <c r="A295" s="3"/>
      <c r="B295" s="3">
        <v>301</v>
      </c>
      <c r="C295" s="3" t="s">
        <v>133</v>
      </c>
      <c r="D295" s="3" t="s">
        <v>89</v>
      </c>
      <c r="E295" s="40">
        <v>396.48</v>
      </c>
      <c r="F295" s="4">
        <v>396.48</v>
      </c>
      <c r="G295" s="3" t="s">
        <v>721</v>
      </c>
      <c r="H295" s="3" t="s">
        <v>81</v>
      </c>
      <c r="I295" s="3" t="s">
        <v>19</v>
      </c>
      <c r="J295" s="17" t="s">
        <v>3</v>
      </c>
      <c r="K295" s="3" t="s">
        <v>911</v>
      </c>
      <c r="L295" s="3"/>
      <c r="M295" s="3"/>
      <c r="N295" s="3"/>
      <c r="O295" s="3"/>
      <c r="P295" s="3"/>
      <c r="Q295" s="3"/>
      <c r="R295" s="3"/>
      <c r="S295" s="3"/>
    </row>
    <row r="296" spans="1:19" ht="90" x14ac:dyDescent="0.25">
      <c r="A296" s="3"/>
      <c r="B296" s="3">
        <v>302</v>
      </c>
      <c r="C296" s="3" t="s">
        <v>637</v>
      </c>
      <c r="D296" s="3" t="s">
        <v>638</v>
      </c>
      <c r="E296" s="40" t="s">
        <v>745</v>
      </c>
      <c r="F296" s="4">
        <v>73707.490000000005</v>
      </c>
      <c r="G296" s="3" t="s">
        <v>721</v>
      </c>
      <c r="H296" s="3" t="s">
        <v>81</v>
      </c>
      <c r="I296" s="3" t="s">
        <v>19</v>
      </c>
      <c r="J296" s="10" t="s">
        <v>722</v>
      </c>
      <c r="K296" s="3" t="s">
        <v>744</v>
      </c>
      <c r="L296" s="3"/>
      <c r="M296" s="3"/>
      <c r="N296" s="3"/>
      <c r="O296" s="3"/>
      <c r="P296" s="3"/>
      <c r="Q296" s="3"/>
      <c r="R296" s="3"/>
      <c r="S296" s="3"/>
    </row>
    <row r="297" spans="1:19" ht="90" x14ac:dyDescent="0.25">
      <c r="A297" s="3"/>
      <c r="B297" s="1">
        <v>303</v>
      </c>
      <c r="C297" s="3" t="s">
        <v>639</v>
      </c>
      <c r="D297" s="3" t="s">
        <v>640</v>
      </c>
      <c r="E297" s="40" t="s">
        <v>1366</v>
      </c>
      <c r="F297" s="4">
        <v>175000</v>
      </c>
      <c r="G297" s="3" t="s">
        <v>721</v>
      </c>
      <c r="H297" s="3" t="s">
        <v>81</v>
      </c>
      <c r="I297" s="3" t="s">
        <v>19</v>
      </c>
      <c r="J297" s="10" t="s">
        <v>723</v>
      </c>
      <c r="K297" s="3" t="s">
        <v>724</v>
      </c>
      <c r="L297" s="3"/>
      <c r="M297" s="3"/>
      <c r="N297" s="3"/>
      <c r="O297" s="3"/>
      <c r="P297" s="3"/>
      <c r="Q297" s="3"/>
      <c r="R297" s="3"/>
      <c r="S297" s="3"/>
    </row>
    <row r="298" spans="1:19" ht="45" x14ac:dyDescent="0.25">
      <c r="A298" s="3"/>
      <c r="B298" s="1">
        <v>304</v>
      </c>
      <c r="C298" s="3" t="s">
        <v>641</v>
      </c>
      <c r="D298" s="3" t="s">
        <v>83</v>
      </c>
      <c r="E298" s="40" t="s">
        <v>896</v>
      </c>
      <c r="F298" s="4">
        <v>1075</v>
      </c>
      <c r="G298" s="3" t="s">
        <v>721</v>
      </c>
      <c r="H298" s="3" t="s">
        <v>81</v>
      </c>
      <c r="I298" s="3" t="s">
        <v>19</v>
      </c>
      <c r="J298" s="8" t="s">
        <v>3</v>
      </c>
      <c r="K298" s="3" t="s">
        <v>725</v>
      </c>
      <c r="L298" s="3"/>
      <c r="M298" s="3"/>
      <c r="N298" s="3"/>
      <c r="O298" s="3"/>
      <c r="P298" s="3"/>
      <c r="Q298" s="3"/>
      <c r="R298" s="3"/>
      <c r="S298" s="3"/>
    </row>
    <row r="299" spans="1:19" ht="45" x14ac:dyDescent="0.25">
      <c r="A299" s="3"/>
      <c r="B299" s="3">
        <v>305</v>
      </c>
      <c r="C299" s="3" t="s">
        <v>642</v>
      </c>
      <c r="D299" s="3" t="s">
        <v>89</v>
      </c>
      <c r="E299" s="40" t="s">
        <v>750</v>
      </c>
      <c r="F299" s="4">
        <v>17464</v>
      </c>
      <c r="G299" s="3" t="s">
        <v>721</v>
      </c>
      <c r="H299" s="3" t="s">
        <v>81</v>
      </c>
      <c r="I299" s="3" t="s">
        <v>19</v>
      </c>
      <c r="J299" s="8" t="s">
        <v>3</v>
      </c>
      <c r="K299" s="3" t="s">
        <v>726</v>
      </c>
      <c r="L299" s="3"/>
      <c r="M299" s="3"/>
      <c r="N299" s="3"/>
      <c r="O299" s="3"/>
      <c r="P299" s="3"/>
      <c r="Q299" s="3"/>
      <c r="R299" s="3"/>
      <c r="S299" s="3"/>
    </row>
    <row r="300" spans="1:19" ht="45" x14ac:dyDescent="0.25">
      <c r="A300" s="3"/>
      <c r="B300" s="3">
        <v>306</v>
      </c>
      <c r="C300" s="3" t="s">
        <v>643</v>
      </c>
      <c r="D300" s="3" t="s">
        <v>89</v>
      </c>
      <c r="E300" s="40" t="s">
        <v>909</v>
      </c>
      <c r="F300" s="4">
        <v>27206</v>
      </c>
      <c r="G300" s="3" t="s">
        <v>721</v>
      </c>
      <c r="H300" s="3" t="s">
        <v>81</v>
      </c>
      <c r="I300" s="3" t="s">
        <v>19</v>
      </c>
      <c r="J300" s="8" t="s">
        <v>3</v>
      </c>
      <c r="K300" s="3" t="s">
        <v>908</v>
      </c>
      <c r="L300" s="3"/>
      <c r="M300" s="3"/>
      <c r="N300" s="3"/>
      <c r="O300" s="3"/>
      <c r="P300" s="3"/>
      <c r="Q300" s="3"/>
      <c r="R300" s="3"/>
      <c r="S300" s="3"/>
    </row>
    <row r="301" spans="1:19" ht="45" x14ac:dyDescent="0.25">
      <c r="A301" s="3"/>
      <c r="B301" s="1">
        <v>307</v>
      </c>
      <c r="C301" s="3" t="s">
        <v>622</v>
      </c>
      <c r="D301" s="3" t="s">
        <v>89</v>
      </c>
      <c r="E301" s="40" t="s">
        <v>897</v>
      </c>
      <c r="F301" s="4">
        <v>57525</v>
      </c>
      <c r="G301" s="3" t="s">
        <v>721</v>
      </c>
      <c r="H301" s="3" t="s">
        <v>81</v>
      </c>
      <c r="I301" s="3" t="s">
        <v>19</v>
      </c>
      <c r="J301" s="8" t="s">
        <v>3</v>
      </c>
      <c r="K301" s="3" t="s">
        <v>727</v>
      </c>
      <c r="L301" s="3"/>
      <c r="M301" s="3"/>
      <c r="N301" s="3"/>
      <c r="O301" s="3"/>
      <c r="P301" s="3"/>
      <c r="Q301" s="3"/>
      <c r="R301" s="3"/>
      <c r="S301" s="3"/>
    </row>
    <row r="302" spans="1:19" ht="45" x14ac:dyDescent="0.25">
      <c r="A302" s="3"/>
      <c r="B302" s="1">
        <v>308</v>
      </c>
      <c r="C302" s="3" t="s">
        <v>124</v>
      </c>
      <c r="D302" s="3" t="s">
        <v>89</v>
      </c>
      <c r="E302" s="40" t="s">
        <v>901</v>
      </c>
      <c r="F302" s="4">
        <v>1948.88</v>
      </c>
      <c r="G302" s="3" t="s">
        <v>721</v>
      </c>
      <c r="H302" s="3" t="s">
        <v>81</v>
      </c>
      <c r="I302" s="3" t="s">
        <v>19</v>
      </c>
      <c r="J302" s="8" t="s">
        <v>3</v>
      </c>
      <c r="K302" s="3" t="s">
        <v>899</v>
      </c>
      <c r="L302" s="3"/>
      <c r="M302" s="3"/>
      <c r="N302" s="3"/>
      <c r="O302" s="3"/>
      <c r="P302" s="3"/>
      <c r="Q302" s="3"/>
      <c r="R302" s="3"/>
      <c r="S302" s="3"/>
    </row>
    <row r="303" spans="1:19" ht="45" x14ac:dyDescent="0.25">
      <c r="A303" s="3"/>
      <c r="B303" s="3">
        <v>309</v>
      </c>
      <c r="C303" s="1" t="s">
        <v>644</v>
      </c>
      <c r="D303" s="3" t="s">
        <v>104</v>
      </c>
      <c r="E303" s="40" t="s">
        <v>905</v>
      </c>
      <c r="F303" s="4">
        <v>2210</v>
      </c>
      <c r="G303" s="3" t="s">
        <v>721</v>
      </c>
      <c r="H303" s="3" t="s">
        <v>81</v>
      </c>
      <c r="I303" s="3" t="s">
        <v>19</v>
      </c>
      <c r="J303" s="8" t="s">
        <v>3</v>
      </c>
      <c r="K303" s="3" t="s">
        <v>900</v>
      </c>
      <c r="L303" s="3"/>
      <c r="M303" s="3"/>
      <c r="N303" s="3"/>
      <c r="O303" s="3"/>
      <c r="P303" s="3"/>
      <c r="Q303" s="3"/>
      <c r="R303" s="3"/>
      <c r="S303" s="3"/>
    </row>
    <row r="304" spans="1:19" ht="45" x14ac:dyDescent="0.25">
      <c r="A304" s="3"/>
      <c r="B304" s="3">
        <v>310</v>
      </c>
      <c r="C304" s="3" t="s">
        <v>392</v>
      </c>
      <c r="D304" s="3" t="s">
        <v>543</v>
      </c>
      <c r="E304" s="40" t="s">
        <v>758</v>
      </c>
      <c r="F304" s="4">
        <v>1550</v>
      </c>
      <c r="G304" s="3" t="s">
        <v>728</v>
      </c>
      <c r="H304" s="3" t="s">
        <v>81</v>
      </c>
      <c r="I304" s="3" t="s">
        <v>19</v>
      </c>
      <c r="J304" s="8" t="s">
        <v>3</v>
      </c>
      <c r="K304" s="3" t="s">
        <v>757</v>
      </c>
      <c r="L304" s="3"/>
      <c r="M304" s="3"/>
      <c r="N304" s="3"/>
      <c r="O304" s="3"/>
      <c r="P304" s="3"/>
      <c r="Q304" s="3"/>
      <c r="R304" s="3"/>
      <c r="S304" s="3"/>
    </row>
    <row r="305" spans="1:19" ht="45" x14ac:dyDescent="0.25">
      <c r="A305" s="3"/>
      <c r="B305" s="1">
        <v>311</v>
      </c>
      <c r="C305" s="55" t="s">
        <v>2035</v>
      </c>
      <c r="D305" s="3" t="s">
        <v>89</v>
      </c>
      <c r="E305" s="40">
        <v>94.27</v>
      </c>
      <c r="F305" s="4">
        <v>100</v>
      </c>
      <c r="G305" s="3" t="s">
        <v>728</v>
      </c>
      <c r="H305" s="3" t="s">
        <v>81</v>
      </c>
      <c r="I305" s="3" t="s">
        <v>19</v>
      </c>
      <c r="J305" s="8" t="s">
        <v>3</v>
      </c>
      <c r="K305" s="3" t="s">
        <v>764</v>
      </c>
      <c r="L305" s="3"/>
      <c r="M305" s="3"/>
      <c r="N305" s="3"/>
      <c r="O305" s="3"/>
      <c r="P305" s="3"/>
      <c r="Q305" s="3"/>
      <c r="R305" s="3"/>
      <c r="S305" s="3"/>
    </row>
    <row r="306" spans="1:19" ht="45" x14ac:dyDescent="0.25">
      <c r="A306" s="3"/>
      <c r="B306" s="1">
        <v>312</v>
      </c>
      <c r="C306" s="3" t="s">
        <v>588</v>
      </c>
      <c r="D306" s="3" t="s">
        <v>85</v>
      </c>
      <c r="E306" s="40">
        <v>352</v>
      </c>
      <c r="F306" s="4">
        <v>352</v>
      </c>
      <c r="G306" s="3" t="s">
        <v>729</v>
      </c>
      <c r="H306" s="3" t="s">
        <v>81</v>
      </c>
      <c r="I306" s="3" t="s">
        <v>19</v>
      </c>
      <c r="J306" s="8" t="s">
        <v>3</v>
      </c>
      <c r="K306" s="3" t="s">
        <v>765</v>
      </c>
      <c r="L306" s="3"/>
      <c r="M306" s="3"/>
      <c r="N306" s="3"/>
      <c r="O306" s="3"/>
      <c r="P306" s="3"/>
      <c r="Q306" s="3"/>
      <c r="R306" s="3"/>
      <c r="S306" s="3"/>
    </row>
    <row r="307" spans="1:19" ht="45" x14ac:dyDescent="0.25">
      <c r="A307" s="3"/>
      <c r="B307" s="3">
        <v>313</v>
      </c>
      <c r="C307" s="3" t="s">
        <v>169</v>
      </c>
      <c r="D307" s="3" t="s">
        <v>543</v>
      </c>
      <c r="E307" s="40">
        <v>700</v>
      </c>
      <c r="F307" s="4">
        <v>700</v>
      </c>
      <c r="G307" s="3" t="s">
        <v>729</v>
      </c>
      <c r="H307" s="3" t="s">
        <v>81</v>
      </c>
      <c r="I307" s="3" t="s">
        <v>19</v>
      </c>
      <c r="J307" s="8" t="s">
        <v>3</v>
      </c>
      <c r="K307" s="3" t="s">
        <v>730</v>
      </c>
      <c r="L307" s="3"/>
      <c r="M307" s="3"/>
      <c r="N307" s="3"/>
      <c r="O307" s="3"/>
      <c r="P307" s="3"/>
      <c r="Q307" s="3"/>
      <c r="R307" s="3"/>
      <c r="S307" s="3"/>
    </row>
    <row r="308" spans="1:19" ht="45" x14ac:dyDescent="0.25">
      <c r="A308" s="3"/>
      <c r="B308" s="3">
        <v>314</v>
      </c>
      <c r="C308" s="3" t="s">
        <v>889</v>
      </c>
      <c r="D308" s="3" t="s">
        <v>104</v>
      </c>
      <c r="E308" s="40" t="s">
        <v>904</v>
      </c>
      <c r="F308" s="4">
        <v>12960</v>
      </c>
      <c r="G308" s="3" t="s">
        <v>729</v>
      </c>
      <c r="H308" s="3" t="s">
        <v>81</v>
      </c>
      <c r="I308" s="3" t="s">
        <v>19</v>
      </c>
      <c r="J308" s="8" t="s">
        <v>3</v>
      </c>
      <c r="K308" s="3" t="s">
        <v>891</v>
      </c>
      <c r="L308" s="3"/>
      <c r="M308" s="3"/>
      <c r="N308" s="3"/>
      <c r="O308" s="3"/>
      <c r="P308" s="3"/>
      <c r="Q308" s="3"/>
      <c r="R308" s="3"/>
      <c r="S308" s="3"/>
    </row>
    <row r="309" spans="1:19" ht="45" x14ac:dyDescent="0.25">
      <c r="A309" s="3"/>
      <c r="B309" s="1">
        <v>315</v>
      </c>
      <c r="C309" s="3" t="s">
        <v>103</v>
      </c>
      <c r="D309" s="3" t="s">
        <v>104</v>
      </c>
      <c r="E309" s="40" t="s">
        <v>894</v>
      </c>
      <c r="F309" s="4">
        <v>7298.7</v>
      </c>
      <c r="G309" s="3" t="s">
        <v>729</v>
      </c>
      <c r="H309" s="3" t="s">
        <v>81</v>
      </c>
      <c r="I309" s="3" t="s">
        <v>19</v>
      </c>
      <c r="J309" s="8" t="s">
        <v>3</v>
      </c>
      <c r="K309" s="3" t="s">
        <v>892</v>
      </c>
      <c r="L309" s="3"/>
      <c r="M309" s="3"/>
      <c r="N309" s="3"/>
      <c r="O309" s="3"/>
      <c r="P309" s="3"/>
      <c r="Q309" s="3"/>
      <c r="R309" s="3"/>
      <c r="S309" s="3"/>
    </row>
    <row r="310" spans="1:19" ht="45" x14ac:dyDescent="0.25">
      <c r="A310" s="3"/>
      <c r="B310" s="1">
        <v>316</v>
      </c>
      <c r="C310" s="3" t="s">
        <v>890</v>
      </c>
      <c r="D310" s="3" t="s">
        <v>85</v>
      </c>
      <c r="E310" s="40" t="s">
        <v>1079</v>
      </c>
      <c r="F310" s="4">
        <v>4112.84</v>
      </c>
      <c r="G310" s="3" t="s">
        <v>729</v>
      </c>
      <c r="H310" s="3" t="s">
        <v>81</v>
      </c>
      <c r="I310" s="3" t="s">
        <v>19</v>
      </c>
      <c r="J310" s="8" t="s">
        <v>3</v>
      </c>
      <c r="K310" s="3" t="s">
        <v>893</v>
      </c>
      <c r="L310" s="3"/>
      <c r="M310" s="3"/>
      <c r="N310" s="3"/>
      <c r="O310" s="3"/>
      <c r="P310" s="3"/>
      <c r="Q310" s="3"/>
      <c r="R310" s="3"/>
      <c r="S310" s="3"/>
    </row>
    <row r="311" spans="1:19" ht="45" x14ac:dyDescent="0.25">
      <c r="A311" s="3"/>
      <c r="B311" s="3">
        <v>317</v>
      </c>
      <c r="C311" s="3" t="s">
        <v>646</v>
      </c>
      <c r="D311" s="3" t="s">
        <v>647</v>
      </c>
      <c r="E311" s="41">
        <v>2902</v>
      </c>
      <c r="F311" s="4">
        <v>2902</v>
      </c>
      <c r="G311" s="3" t="s">
        <v>731</v>
      </c>
      <c r="H311" s="3" t="s">
        <v>81</v>
      </c>
      <c r="I311" s="3" t="s">
        <v>9</v>
      </c>
      <c r="J311" s="3" t="s">
        <v>732</v>
      </c>
      <c r="K311" s="3"/>
      <c r="L311" s="3"/>
      <c r="M311" s="3"/>
      <c r="N311" s="3"/>
      <c r="O311" s="3"/>
      <c r="P311" s="3"/>
      <c r="Q311" s="3"/>
      <c r="R311" s="3"/>
      <c r="S311" s="3"/>
    </row>
    <row r="312" spans="1:19" ht="45" x14ac:dyDescent="0.25">
      <c r="A312" s="3"/>
      <c r="B312" s="3">
        <v>318</v>
      </c>
      <c r="C312" s="3" t="s">
        <v>275</v>
      </c>
      <c r="D312" s="3" t="s">
        <v>543</v>
      </c>
      <c r="E312" s="40">
        <v>170</v>
      </c>
      <c r="F312" s="4">
        <v>170</v>
      </c>
      <c r="G312" s="3" t="s">
        <v>731</v>
      </c>
      <c r="H312" s="3" t="s">
        <v>81</v>
      </c>
      <c r="I312" s="3" t="s">
        <v>19</v>
      </c>
      <c r="J312" s="8" t="s">
        <v>3</v>
      </c>
      <c r="K312" s="3" t="s">
        <v>733</v>
      </c>
      <c r="L312" s="3"/>
      <c r="M312" s="3"/>
      <c r="N312" s="3"/>
      <c r="O312" s="3"/>
      <c r="P312" s="3"/>
      <c r="Q312" s="3"/>
      <c r="R312" s="3"/>
      <c r="S312" s="3"/>
    </row>
    <row r="313" spans="1:19" ht="45" x14ac:dyDescent="0.25">
      <c r="A313" s="3"/>
      <c r="B313" s="1">
        <v>319</v>
      </c>
      <c r="C313" s="3" t="s">
        <v>648</v>
      </c>
      <c r="D313" s="3" t="s">
        <v>83</v>
      </c>
      <c r="E313" s="40">
        <v>175</v>
      </c>
      <c r="F313" s="4">
        <v>175</v>
      </c>
      <c r="G313" s="3" t="s">
        <v>731</v>
      </c>
      <c r="H313" s="3" t="s">
        <v>81</v>
      </c>
      <c r="I313" s="3" t="s">
        <v>19</v>
      </c>
      <c r="J313" s="8" t="s">
        <v>3</v>
      </c>
      <c r="K313" s="3" t="s">
        <v>734</v>
      </c>
      <c r="L313" s="3"/>
      <c r="M313" s="3"/>
      <c r="N313" s="3"/>
      <c r="O313" s="3"/>
      <c r="P313" s="3"/>
      <c r="Q313" s="3"/>
      <c r="R313" s="3"/>
      <c r="S313" s="3"/>
    </row>
    <row r="314" spans="1:19" ht="45" x14ac:dyDescent="0.25">
      <c r="A314" s="3"/>
      <c r="B314" s="1">
        <v>320</v>
      </c>
      <c r="C314" s="3" t="s">
        <v>649</v>
      </c>
      <c r="D314" s="3" t="s">
        <v>543</v>
      </c>
      <c r="E314" s="40">
        <v>735</v>
      </c>
      <c r="F314" s="4">
        <v>735</v>
      </c>
      <c r="G314" s="3" t="s">
        <v>731</v>
      </c>
      <c r="H314" s="3" t="s">
        <v>81</v>
      </c>
      <c r="I314" s="3" t="s">
        <v>19</v>
      </c>
      <c r="J314" s="8" t="s">
        <v>3</v>
      </c>
      <c r="K314" s="3" t="s">
        <v>760</v>
      </c>
      <c r="L314" s="3"/>
      <c r="M314" s="3"/>
      <c r="N314" s="3"/>
      <c r="O314" s="3"/>
      <c r="P314" s="3"/>
      <c r="Q314" s="3"/>
      <c r="R314" s="3"/>
      <c r="S314" s="3"/>
    </row>
    <row r="315" spans="1:19" ht="45" x14ac:dyDescent="0.25">
      <c r="A315" s="3"/>
      <c r="B315" s="3">
        <v>321</v>
      </c>
      <c r="C315" s="3" t="s">
        <v>612</v>
      </c>
      <c r="D315" s="3" t="s">
        <v>85</v>
      </c>
      <c r="E315" s="40">
        <v>650</v>
      </c>
      <c r="F315" s="4">
        <v>650</v>
      </c>
      <c r="G315" s="3" t="s">
        <v>731</v>
      </c>
      <c r="H315" s="3" t="s">
        <v>81</v>
      </c>
      <c r="I315" s="3" t="s">
        <v>19</v>
      </c>
      <c r="J315" s="8" t="s">
        <v>3</v>
      </c>
      <c r="K315" s="3" t="s">
        <v>761</v>
      </c>
      <c r="L315" s="3"/>
      <c r="M315" s="3"/>
      <c r="N315" s="3"/>
      <c r="O315" s="3"/>
      <c r="P315" s="3"/>
      <c r="Q315" s="3"/>
      <c r="R315" s="3"/>
      <c r="S315" s="3"/>
    </row>
    <row r="316" spans="1:19" ht="45" x14ac:dyDescent="0.25">
      <c r="A316" s="3"/>
      <c r="B316" s="3">
        <v>322</v>
      </c>
      <c r="C316" s="3" t="s">
        <v>612</v>
      </c>
      <c r="D316" s="3" t="s">
        <v>89</v>
      </c>
      <c r="E316" s="40" t="s">
        <v>1365</v>
      </c>
      <c r="F316" s="4">
        <v>1040</v>
      </c>
      <c r="G316" s="3" t="s">
        <v>731</v>
      </c>
      <c r="H316" s="3" t="s">
        <v>81</v>
      </c>
      <c r="I316" s="3" t="s">
        <v>19</v>
      </c>
      <c r="J316" s="8" t="s">
        <v>3</v>
      </c>
      <c r="K316" s="3" t="s">
        <v>762</v>
      </c>
      <c r="L316" s="3"/>
      <c r="M316" s="3"/>
      <c r="N316" s="3"/>
      <c r="O316" s="3"/>
      <c r="P316" s="3"/>
      <c r="Q316" s="3"/>
      <c r="R316" s="3"/>
      <c r="S316" s="3"/>
    </row>
    <row r="317" spans="1:19" ht="101.25" x14ac:dyDescent="0.25">
      <c r="A317" s="3"/>
      <c r="B317" s="1">
        <v>323</v>
      </c>
      <c r="C317" s="3" t="s">
        <v>650</v>
      </c>
      <c r="D317" s="3" t="s">
        <v>651</v>
      </c>
      <c r="E317" s="40">
        <v>105</v>
      </c>
      <c r="F317" s="4">
        <v>130</v>
      </c>
      <c r="G317" s="3" t="s">
        <v>731</v>
      </c>
      <c r="H317" s="3" t="s">
        <v>81</v>
      </c>
      <c r="I317" s="3" t="s">
        <v>19</v>
      </c>
      <c r="J317" s="10" t="s">
        <v>566</v>
      </c>
      <c r="K317" s="3" t="s">
        <v>735</v>
      </c>
      <c r="L317" s="3"/>
      <c r="M317" s="3"/>
      <c r="N317" s="3"/>
      <c r="O317" s="3"/>
      <c r="P317" s="3"/>
      <c r="Q317" s="3"/>
      <c r="R317" s="3"/>
      <c r="S317" s="3"/>
    </row>
    <row r="318" spans="1:19" ht="101.25" x14ac:dyDescent="0.25">
      <c r="A318" s="3"/>
      <c r="B318" s="1">
        <v>324</v>
      </c>
      <c r="C318" s="3" t="s">
        <v>652</v>
      </c>
      <c r="D318" s="3" t="s">
        <v>653</v>
      </c>
      <c r="E318" s="40">
        <f>511.58</f>
        <v>511.58</v>
      </c>
      <c r="F318" s="4">
        <v>530</v>
      </c>
      <c r="G318" s="3" t="s">
        <v>731</v>
      </c>
      <c r="H318" s="3" t="s">
        <v>81</v>
      </c>
      <c r="I318" s="3" t="s">
        <v>19</v>
      </c>
      <c r="J318" s="10" t="s">
        <v>284</v>
      </c>
      <c r="K318" s="3" t="s">
        <v>736</v>
      </c>
      <c r="L318" s="3"/>
      <c r="M318" s="3"/>
      <c r="N318" s="3"/>
      <c r="O318" s="3"/>
      <c r="P318" s="3"/>
      <c r="Q318" s="3"/>
      <c r="R318" s="3"/>
      <c r="S318" s="3"/>
    </row>
    <row r="319" spans="1:19" ht="45" x14ac:dyDescent="0.25">
      <c r="A319" s="3"/>
      <c r="B319" s="3">
        <v>325</v>
      </c>
      <c r="C319" s="3" t="s">
        <v>589</v>
      </c>
      <c r="D319" s="3" t="s">
        <v>89</v>
      </c>
      <c r="E319" s="40">
        <v>285</v>
      </c>
      <c r="F319" s="4">
        <v>350</v>
      </c>
      <c r="G319" s="3" t="s">
        <v>731</v>
      </c>
      <c r="H319" s="3" t="s">
        <v>81</v>
      </c>
      <c r="I319" s="3" t="s">
        <v>19</v>
      </c>
      <c r="J319" s="8" t="s">
        <v>3</v>
      </c>
      <c r="K319" s="3" t="s">
        <v>763</v>
      </c>
      <c r="L319" s="3"/>
      <c r="M319" s="3"/>
      <c r="N319" s="3"/>
      <c r="O319" s="3"/>
      <c r="P319" s="3"/>
      <c r="Q319" s="3"/>
      <c r="R319" s="3"/>
      <c r="S319" s="3"/>
    </row>
    <row r="320" spans="1:19" ht="22.5" x14ac:dyDescent="0.25">
      <c r="A320" s="3"/>
      <c r="B320" s="3">
        <v>326</v>
      </c>
      <c r="C320" s="3" t="s">
        <v>617</v>
      </c>
      <c r="D320" s="3" t="s">
        <v>781</v>
      </c>
      <c r="E320" s="41">
        <v>3999.93</v>
      </c>
      <c r="F320" s="4">
        <v>3999.93</v>
      </c>
      <c r="G320" s="3" t="s">
        <v>835</v>
      </c>
      <c r="H320" s="3" t="s">
        <v>81</v>
      </c>
      <c r="I320" s="3" t="s">
        <v>9</v>
      </c>
      <c r="J320" s="17" t="s">
        <v>836</v>
      </c>
      <c r="K320" s="3"/>
      <c r="L320" s="3"/>
      <c r="M320" s="3"/>
      <c r="N320" s="3"/>
      <c r="O320" s="3"/>
      <c r="P320" s="3"/>
      <c r="Q320" s="3"/>
      <c r="R320" s="3"/>
      <c r="S320" s="3"/>
    </row>
    <row r="321" spans="1:19" ht="101.25" x14ac:dyDescent="0.25">
      <c r="A321" s="3"/>
      <c r="B321" s="1">
        <v>327</v>
      </c>
      <c r="C321" s="3" t="s">
        <v>782</v>
      </c>
      <c r="D321" s="3" t="s">
        <v>783</v>
      </c>
      <c r="E321" s="40">
        <f>2900.7+16132.83</f>
        <v>19033.53</v>
      </c>
      <c r="F321" s="4">
        <v>18605.650000000001</v>
      </c>
      <c r="G321" s="3" t="s">
        <v>837</v>
      </c>
      <c r="H321" s="3" t="s">
        <v>81</v>
      </c>
      <c r="I321" s="3" t="s">
        <v>19</v>
      </c>
      <c r="J321" s="10" t="s">
        <v>566</v>
      </c>
      <c r="K321" s="3" t="s">
        <v>838</v>
      </c>
      <c r="L321" s="3"/>
      <c r="M321" s="3"/>
      <c r="N321" s="3"/>
      <c r="O321" s="3"/>
      <c r="P321" s="3"/>
      <c r="Q321" s="3"/>
      <c r="R321" s="3"/>
      <c r="S321" s="3"/>
    </row>
    <row r="322" spans="1:19" ht="45" x14ac:dyDescent="0.25">
      <c r="A322" s="3"/>
      <c r="B322" s="1">
        <v>328</v>
      </c>
      <c r="C322" s="3" t="s">
        <v>784</v>
      </c>
      <c r="D322" s="3" t="s">
        <v>83</v>
      </c>
      <c r="E322" s="40" t="s">
        <v>922</v>
      </c>
      <c r="F322" s="4">
        <v>1656.25</v>
      </c>
      <c r="G322" s="3" t="s">
        <v>837</v>
      </c>
      <c r="H322" s="3" t="s">
        <v>81</v>
      </c>
      <c r="I322" s="3" t="s">
        <v>19</v>
      </c>
      <c r="J322" s="8" t="s">
        <v>3</v>
      </c>
      <c r="K322" s="3" t="s">
        <v>839</v>
      </c>
      <c r="L322" s="3"/>
      <c r="M322" s="3"/>
      <c r="N322" s="3"/>
      <c r="O322" s="3"/>
      <c r="P322" s="3"/>
      <c r="Q322" s="3"/>
      <c r="R322" s="3"/>
      <c r="S322" s="3"/>
    </row>
    <row r="323" spans="1:19" ht="101.25" x14ac:dyDescent="0.25">
      <c r="A323" s="3"/>
      <c r="B323" s="3">
        <v>329</v>
      </c>
      <c r="C323" s="3" t="s">
        <v>785</v>
      </c>
      <c r="D323" s="3" t="s">
        <v>786</v>
      </c>
      <c r="E323" s="40" t="s">
        <v>887</v>
      </c>
      <c r="F323" s="4">
        <v>8155.4</v>
      </c>
      <c r="G323" s="3" t="s">
        <v>840</v>
      </c>
      <c r="H323" s="3" t="s">
        <v>81</v>
      </c>
      <c r="I323" s="3" t="s">
        <v>19</v>
      </c>
      <c r="J323" s="10" t="s">
        <v>566</v>
      </c>
      <c r="K323" s="3" t="s">
        <v>886</v>
      </c>
      <c r="L323" s="3"/>
      <c r="M323" s="3"/>
      <c r="N323" s="3"/>
      <c r="O323" s="3"/>
      <c r="P323" s="3"/>
      <c r="Q323" s="3"/>
      <c r="R323" s="3"/>
      <c r="S323" s="3"/>
    </row>
    <row r="324" spans="1:19" ht="45" x14ac:dyDescent="0.25">
      <c r="A324" s="3"/>
      <c r="B324" s="3">
        <v>330</v>
      </c>
      <c r="C324" s="3" t="s">
        <v>169</v>
      </c>
      <c r="D324" s="3" t="s">
        <v>543</v>
      </c>
      <c r="E324" s="40" t="s">
        <v>918</v>
      </c>
      <c r="F324" s="4">
        <v>2950</v>
      </c>
      <c r="G324" s="3" t="s">
        <v>840</v>
      </c>
      <c r="H324" s="3" t="s">
        <v>81</v>
      </c>
      <c r="I324" s="3" t="s">
        <v>19</v>
      </c>
      <c r="J324" s="8" t="s">
        <v>3</v>
      </c>
      <c r="K324" s="3" t="s">
        <v>841</v>
      </c>
      <c r="L324" s="3"/>
      <c r="M324" s="3"/>
      <c r="N324" s="3"/>
      <c r="O324" s="3"/>
      <c r="P324" s="3"/>
      <c r="Q324" s="3"/>
      <c r="R324" s="3"/>
      <c r="S324" s="3"/>
    </row>
    <row r="325" spans="1:19" ht="45" x14ac:dyDescent="0.25">
      <c r="A325" s="3"/>
      <c r="B325" s="1">
        <v>331</v>
      </c>
      <c r="C325" s="3" t="s">
        <v>170</v>
      </c>
      <c r="D325" s="3" t="s">
        <v>83</v>
      </c>
      <c r="E325" s="40" t="s">
        <v>910</v>
      </c>
      <c r="F325" s="4">
        <v>2287.5</v>
      </c>
      <c r="G325" s="3" t="s">
        <v>840</v>
      </c>
      <c r="H325" s="3" t="s">
        <v>81</v>
      </c>
      <c r="I325" s="3" t="s">
        <v>19</v>
      </c>
      <c r="J325" s="8" t="s">
        <v>3</v>
      </c>
      <c r="K325" s="3" t="s">
        <v>842</v>
      </c>
      <c r="L325" s="3"/>
      <c r="M325" s="3"/>
      <c r="N325" s="3"/>
      <c r="O325" s="3"/>
      <c r="P325" s="3"/>
      <c r="Q325" s="3"/>
      <c r="R325" s="3"/>
      <c r="S325" s="3"/>
    </row>
    <row r="326" spans="1:19" ht="45" x14ac:dyDescent="0.25">
      <c r="A326" s="3"/>
      <c r="B326" s="1">
        <v>332</v>
      </c>
      <c r="C326" s="3" t="s">
        <v>589</v>
      </c>
      <c r="D326" s="3" t="s">
        <v>89</v>
      </c>
      <c r="E326" s="40" t="s">
        <v>902</v>
      </c>
      <c r="F326" s="4">
        <v>360</v>
      </c>
      <c r="G326" s="3" t="s">
        <v>840</v>
      </c>
      <c r="H326" s="3" t="s">
        <v>81</v>
      </c>
      <c r="I326" s="3" t="s">
        <v>19</v>
      </c>
      <c r="J326" s="8" t="s">
        <v>3</v>
      </c>
      <c r="K326" s="3" t="s">
        <v>843</v>
      </c>
      <c r="L326" s="3"/>
      <c r="M326" s="3"/>
      <c r="N326" s="3"/>
      <c r="O326" s="3"/>
      <c r="P326" s="3"/>
      <c r="Q326" s="3"/>
      <c r="R326" s="3"/>
      <c r="S326" s="3"/>
    </row>
    <row r="327" spans="1:19" ht="45" x14ac:dyDescent="0.25">
      <c r="A327" s="3"/>
      <c r="B327" s="3">
        <v>333</v>
      </c>
      <c r="C327" s="3" t="s">
        <v>787</v>
      </c>
      <c r="D327" s="3" t="s">
        <v>89</v>
      </c>
      <c r="E327" s="40">
        <v>400</v>
      </c>
      <c r="F327" s="4">
        <v>400</v>
      </c>
      <c r="G327" s="3" t="s">
        <v>840</v>
      </c>
      <c r="H327" s="3" t="s">
        <v>81</v>
      </c>
      <c r="I327" s="3" t="s">
        <v>19</v>
      </c>
      <c r="J327" s="8" t="s">
        <v>3</v>
      </c>
      <c r="K327" s="56" t="s">
        <v>903</v>
      </c>
      <c r="L327" s="3"/>
      <c r="M327" s="3"/>
      <c r="N327" s="3"/>
      <c r="O327" s="3"/>
      <c r="P327" s="3"/>
      <c r="Q327" s="3"/>
      <c r="R327" s="3"/>
      <c r="S327" s="3"/>
    </row>
    <row r="328" spans="1:19" ht="45" x14ac:dyDescent="0.25">
      <c r="A328" s="3"/>
      <c r="B328" s="3">
        <v>334</v>
      </c>
      <c r="C328" s="3" t="s">
        <v>788</v>
      </c>
      <c r="D328" s="3" t="s">
        <v>89</v>
      </c>
      <c r="E328" s="40">
        <v>400</v>
      </c>
      <c r="F328" s="4">
        <v>400</v>
      </c>
      <c r="G328" s="3" t="s">
        <v>840</v>
      </c>
      <c r="H328" s="3" t="s">
        <v>81</v>
      </c>
      <c r="I328" s="3" t="s">
        <v>19</v>
      </c>
      <c r="J328" s="8" t="s">
        <v>3</v>
      </c>
      <c r="K328" s="3" t="s">
        <v>844</v>
      </c>
      <c r="L328" s="3"/>
      <c r="M328" s="3"/>
      <c r="N328" s="3"/>
      <c r="O328" s="3"/>
      <c r="P328" s="3"/>
      <c r="Q328" s="3"/>
      <c r="R328" s="3"/>
      <c r="S328" s="3"/>
    </row>
    <row r="329" spans="1:19" ht="45" x14ac:dyDescent="0.25">
      <c r="A329" s="3"/>
      <c r="B329" s="1">
        <v>335</v>
      </c>
      <c r="C329" s="3" t="s">
        <v>645</v>
      </c>
      <c r="D329" s="3" t="s">
        <v>89</v>
      </c>
      <c r="E329" s="40">
        <v>448.8</v>
      </c>
      <c r="F329" s="4">
        <v>500</v>
      </c>
      <c r="G329" s="3" t="s">
        <v>840</v>
      </c>
      <c r="H329" s="3" t="s">
        <v>81</v>
      </c>
      <c r="I329" s="3" t="s">
        <v>19</v>
      </c>
      <c r="J329" s="8" t="s">
        <v>3</v>
      </c>
      <c r="K329" s="3" t="s">
        <v>845</v>
      </c>
      <c r="L329" s="3"/>
      <c r="M329" s="3"/>
      <c r="N329" s="3"/>
      <c r="O329" s="3"/>
      <c r="P329" s="3"/>
      <c r="Q329" s="3"/>
      <c r="R329" s="3"/>
      <c r="S329" s="3"/>
    </row>
    <row r="330" spans="1:19" ht="45" x14ac:dyDescent="0.25">
      <c r="A330" s="3"/>
      <c r="B330" s="1">
        <v>336</v>
      </c>
      <c r="C330" s="3" t="s">
        <v>392</v>
      </c>
      <c r="D330" s="3" t="s">
        <v>543</v>
      </c>
      <c r="E330" s="40" t="s">
        <v>912</v>
      </c>
      <c r="F330" s="4">
        <v>4000</v>
      </c>
      <c r="G330" s="3" t="s">
        <v>840</v>
      </c>
      <c r="H330" s="3" t="s">
        <v>81</v>
      </c>
      <c r="I330" s="3" t="s">
        <v>19</v>
      </c>
      <c r="J330" s="8" t="s">
        <v>3</v>
      </c>
      <c r="K330" s="3" t="s">
        <v>846</v>
      </c>
      <c r="L330" s="3"/>
      <c r="M330" s="3"/>
      <c r="N330" s="3"/>
      <c r="O330" s="3"/>
      <c r="P330" s="3"/>
      <c r="Q330" s="3"/>
      <c r="R330" s="3"/>
      <c r="S330" s="3"/>
    </row>
    <row r="331" spans="1:19" ht="45" x14ac:dyDescent="0.25">
      <c r="A331" s="3"/>
      <c r="B331" s="3">
        <v>337</v>
      </c>
      <c r="C331" s="3" t="s">
        <v>789</v>
      </c>
      <c r="D331" s="3" t="s">
        <v>83</v>
      </c>
      <c r="E331" s="40" t="s">
        <v>923</v>
      </c>
      <c r="F331" s="4">
        <v>1750</v>
      </c>
      <c r="G331" s="3" t="s">
        <v>840</v>
      </c>
      <c r="H331" s="3" t="s">
        <v>81</v>
      </c>
      <c r="I331" s="3" t="s">
        <v>19</v>
      </c>
      <c r="J331" s="8" t="s">
        <v>3</v>
      </c>
      <c r="K331" s="3" t="s">
        <v>847</v>
      </c>
      <c r="L331" s="3"/>
      <c r="M331" s="3"/>
      <c r="N331" s="3"/>
      <c r="O331" s="3"/>
      <c r="P331" s="3"/>
      <c r="Q331" s="3"/>
      <c r="R331" s="3"/>
      <c r="S331" s="3"/>
    </row>
    <row r="332" spans="1:19" ht="45" x14ac:dyDescent="0.25">
      <c r="A332" s="3"/>
      <c r="B332" s="3">
        <v>338</v>
      </c>
      <c r="C332" s="3" t="s">
        <v>790</v>
      </c>
      <c r="D332" s="3" t="s">
        <v>543</v>
      </c>
      <c r="E332" s="40" t="s">
        <v>919</v>
      </c>
      <c r="F332" s="4">
        <v>1470</v>
      </c>
      <c r="G332" s="3" t="s">
        <v>840</v>
      </c>
      <c r="H332" s="3" t="s">
        <v>81</v>
      </c>
      <c r="I332" s="3" t="s">
        <v>19</v>
      </c>
      <c r="J332" s="8" t="s">
        <v>3</v>
      </c>
      <c r="K332" s="3" t="s">
        <v>848</v>
      </c>
      <c r="L332" s="3"/>
      <c r="M332" s="3"/>
      <c r="N332" s="3"/>
      <c r="O332" s="3"/>
      <c r="P332" s="3"/>
      <c r="Q332" s="3"/>
      <c r="R332" s="3"/>
      <c r="S332" s="3"/>
    </row>
    <row r="333" spans="1:19" ht="101.25" x14ac:dyDescent="0.25">
      <c r="A333" s="3"/>
      <c r="B333" s="1">
        <v>339</v>
      </c>
      <c r="C333" s="3" t="s">
        <v>791</v>
      </c>
      <c r="D333" s="3" t="s">
        <v>792</v>
      </c>
      <c r="E333" s="40" t="s">
        <v>1811</v>
      </c>
      <c r="F333" s="4">
        <v>14975</v>
      </c>
      <c r="G333" s="3" t="s">
        <v>840</v>
      </c>
      <c r="H333" s="3" t="s">
        <v>81</v>
      </c>
      <c r="I333" s="3" t="s">
        <v>19</v>
      </c>
      <c r="J333" s="10" t="s">
        <v>566</v>
      </c>
      <c r="K333" s="3" t="s">
        <v>849</v>
      </c>
      <c r="L333" s="3"/>
      <c r="M333" s="3"/>
      <c r="N333" s="3"/>
      <c r="O333" s="3"/>
      <c r="P333" s="3"/>
      <c r="Q333" s="3"/>
      <c r="R333" s="3"/>
      <c r="S333" s="3"/>
    </row>
    <row r="334" spans="1:19" ht="101.25" x14ac:dyDescent="0.25">
      <c r="A334" s="3"/>
      <c r="B334" s="1">
        <v>340</v>
      </c>
      <c r="C334" s="3" t="s">
        <v>793</v>
      </c>
      <c r="D334" s="3" t="s">
        <v>794</v>
      </c>
      <c r="E334" s="40">
        <f>2068+18605.35+12563.27+6412.93+1494.74</f>
        <v>41144.289999999994</v>
      </c>
      <c r="F334" s="4">
        <v>44000</v>
      </c>
      <c r="G334" s="3" t="s">
        <v>840</v>
      </c>
      <c r="H334" s="3" t="s">
        <v>81</v>
      </c>
      <c r="I334" s="3" t="s">
        <v>19</v>
      </c>
      <c r="J334" s="10" t="s">
        <v>566</v>
      </c>
      <c r="K334" s="3" t="s">
        <v>850</v>
      </c>
      <c r="L334" s="3"/>
      <c r="M334" s="3"/>
      <c r="N334" s="3"/>
      <c r="O334" s="3"/>
      <c r="P334" s="3"/>
      <c r="Q334" s="3"/>
      <c r="R334" s="3"/>
      <c r="S334" s="3"/>
    </row>
    <row r="335" spans="1:19" ht="45" x14ac:dyDescent="0.25">
      <c r="A335" s="3"/>
      <c r="B335" s="3">
        <v>341</v>
      </c>
      <c r="C335" s="3" t="s">
        <v>624</v>
      </c>
      <c r="D335" s="3" t="s">
        <v>104</v>
      </c>
      <c r="E335" s="40" t="s">
        <v>1345</v>
      </c>
      <c r="F335" s="4">
        <v>1834.6</v>
      </c>
      <c r="G335" s="3" t="s">
        <v>840</v>
      </c>
      <c r="H335" s="3" t="s">
        <v>81</v>
      </c>
      <c r="I335" s="3" t="s">
        <v>19</v>
      </c>
      <c r="J335" s="8" t="s">
        <v>3</v>
      </c>
      <c r="K335" s="3" t="s">
        <v>1125</v>
      </c>
      <c r="L335" s="3"/>
      <c r="M335" s="3"/>
      <c r="N335" s="3"/>
      <c r="O335" s="3"/>
      <c r="P335" s="3"/>
      <c r="Q335" s="3"/>
      <c r="R335" s="3"/>
      <c r="S335" s="3"/>
    </row>
    <row r="336" spans="1:19" ht="45" x14ac:dyDescent="0.25">
      <c r="A336" s="3"/>
      <c r="B336" s="3">
        <v>342</v>
      </c>
      <c r="C336" s="3" t="s">
        <v>624</v>
      </c>
      <c r="D336" s="3" t="s">
        <v>104</v>
      </c>
      <c r="E336" s="40" t="s">
        <v>1347</v>
      </c>
      <c r="F336" s="4">
        <v>9506</v>
      </c>
      <c r="G336" s="3" t="s">
        <v>840</v>
      </c>
      <c r="H336" s="3" t="s">
        <v>81</v>
      </c>
      <c r="I336" s="3" t="s">
        <v>19</v>
      </c>
      <c r="J336" s="8" t="s">
        <v>3</v>
      </c>
      <c r="K336" s="3" t="s">
        <v>1126</v>
      </c>
      <c r="L336" s="3"/>
      <c r="M336" s="3"/>
      <c r="N336" s="3"/>
      <c r="O336" s="3"/>
      <c r="P336" s="3"/>
      <c r="Q336" s="3"/>
      <c r="R336" s="3"/>
      <c r="S336" s="3"/>
    </row>
    <row r="337" spans="1:19" ht="45" x14ac:dyDescent="0.25">
      <c r="A337" s="3"/>
      <c r="B337" s="1">
        <v>343</v>
      </c>
      <c r="C337" s="3" t="s">
        <v>623</v>
      </c>
      <c r="D337" s="3" t="s">
        <v>104</v>
      </c>
      <c r="E337" s="40" t="s">
        <v>1344</v>
      </c>
      <c r="F337" s="4">
        <v>3196</v>
      </c>
      <c r="G337" s="3" t="s">
        <v>840</v>
      </c>
      <c r="H337" s="3" t="s">
        <v>81</v>
      </c>
      <c r="I337" s="3" t="s">
        <v>19</v>
      </c>
      <c r="J337" s="8" t="s">
        <v>3</v>
      </c>
      <c r="K337" s="3" t="s">
        <v>1127</v>
      </c>
      <c r="L337" s="3"/>
      <c r="M337" s="3"/>
      <c r="N337" s="3"/>
      <c r="O337" s="3"/>
      <c r="P337" s="3"/>
      <c r="Q337" s="3"/>
      <c r="R337" s="3"/>
      <c r="S337" s="3"/>
    </row>
    <row r="338" spans="1:19" ht="45" x14ac:dyDescent="0.25">
      <c r="A338" s="3"/>
      <c r="B338" s="1">
        <v>344</v>
      </c>
      <c r="C338" s="3" t="s">
        <v>103</v>
      </c>
      <c r="D338" s="3" t="s">
        <v>104</v>
      </c>
      <c r="E338" s="40" t="s">
        <v>1352</v>
      </c>
      <c r="F338" s="4">
        <v>14146.4</v>
      </c>
      <c r="G338" s="3" t="s">
        <v>840</v>
      </c>
      <c r="H338" s="3" t="s">
        <v>81</v>
      </c>
      <c r="I338" s="3" t="s">
        <v>19</v>
      </c>
      <c r="J338" s="8" t="s">
        <v>3</v>
      </c>
      <c r="K338" s="3" t="s">
        <v>1128</v>
      </c>
      <c r="L338" s="3"/>
      <c r="M338" s="3"/>
      <c r="N338" s="3"/>
      <c r="O338" s="3"/>
      <c r="P338" s="3"/>
      <c r="Q338" s="3"/>
      <c r="R338" s="3"/>
      <c r="S338" s="3"/>
    </row>
    <row r="339" spans="1:19" ht="45" x14ac:dyDescent="0.25">
      <c r="A339" s="3"/>
      <c r="B339" s="1">
        <v>1</v>
      </c>
      <c r="C339" s="3" t="s">
        <v>303</v>
      </c>
      <c r="D339" s="3" t="s">
        <v>89</v>
      </c>
      <c r="E339" s="40" t="s">
        <v>2032</v>
      </c>
      <c r="F339" s="4">
        <v>1099.3900000000001</v>
      </c>
      <c r="G339" s="3" t="s">
        <v>1129</v>
      </c>
      <c r="H339" s="3" t="s">
        <v>81</v>
      </c>
      <c r="I339" s="3" t="s">
        <v>19</v>
      </c>
      <c r="J339" s="8" t="s">
        <v>3</v>
      </c>
      <c r="K339" s="3" t="s">
        <v>1130</v>
      </c>
      <c r="L339" s="3"/>
      <c r="M339" s="3"/>
      <c r="N339" s="3"/>
      <c r="O339" s="3"/>
      <c r="P339" s="3"/>
      <c r="Q339" s="3"/>
      <c r="R339" s="3"/>
      <c r="S339" s="3"/>
    </row>
    <row r="340" spans="1:19" ht="67.5" customHeight="1" x14ac:dyDescent="0.25">
      <c r="A340" s="3"/>
      <c r="B340" s="1">
        <v>2</v>
      </c>
      <c r="C340" s="3" t="s">
        <v>96</v>
      </c>
      <c r="D340" s="3" t="s">
        <v>79</v>
      </c>
      <c r="E340" s="40">
        <v>630</v>
      </c>
      <c r="F340" s="4">
        <v>630</v>
      </c>
      <c r="G340" s="3" t="s">
        <v>851</v>
      </c>
      <c r="H340" s="3" t="s">
        <v>81</v>
      </c>
      <c r="I340" s="3" t="s">
        <v>19</v>
      </c>
      <c r="J340" s="8" t="s">
        <v>3</v>
      </c>
      <c r="K340" s="3" t="s">
        <v>1131</v>
      </c>
      <c r="L340" s="3"/>
      <c r="M340" s="3"/>
      <c r="N340" s="3"/>
      <c r="O340" s="3"/>
      <c r="P340" s="3"/>
      <c r="Q340" s="3"/>
      <c r="R340" s="3"/>
      <c r="S340" s="3"/>
    </row>
    <row r="341" spans="1:19" ht="45" x14ac:dyDescent="0.25">
      <c r="A341" s="3"/>
      <c r="B341" s="3">
        <v>345</v>
      </c>
      <c r="C341" s="3" t="s">
        <v>603</v>
      </c>
      <c r="D341" s="3" t="s">
        <v>89</v>
      </c>
      <c r="E341" s="40" t="s">
        <v>1080</v>
      </c>
      <c r="F341" s="4">
        <v>1100</v>
      </c>
      <c r="G341" s="3" t="s">
        <v>851</v>
      </c>
      <c r="H341" s="3" t="s">
        <v>81</v>
      </c>
      <c r="I341" s="3" t="s">
        <v>19</v>
      </c>
      <c r="J341" s="8" t="s">
        <v>3</v>
      </c>
      <c r="K341" s="3" t="s">
        <v>852</v>
      </c>
      <c r="L341" s="3"/>
      <c r="M341" s="3"/>
      <c r="N341" s="3"/>
      <c r="O341" s="3"/>
      <c r="P341" s="3"/>
      <c r="Q341" s="3"/>
      <c r="R341" s="3"/>
      <c r="S341" s="3"/>
    </row>
    <row r="342" spans="1:19" ht="45" x14ac:dyDescent="0.25">
      <c r="A342" s="3"/>
      <c r="B342" s="3">
        <v>346</v>
      </c>
      <c r="C342" s="3" t="s">
        <v>542</v>
      </c>
      <c r="D342" s="3" t="s">
        <v>543</v>
      </c>
      <c r="E342" s="40">
        <v>140</v>
      </c>
      <c r="F342" s="4">
        <v>140</v>
      </c>
      <c r="G342" s="3" t="s">
        <v>851</v>
      </c>
      <c r="H342" s="3" t="s">
        <v>81</v>
      </c>
      <c r="I342" s="3" t="s">
        <v>19</v>
      </c>
      <c r="J342" s="8" t="s">
        <v>3</v>
      </c>
      <c r="K342" s="3" t="s">
        <v>853</v>
      </c>
      <c r="L342" s="3"/>
      <c r="M342" s="3"/>
      <c r="N342" s="3"/>
      <c r="O342" s="3"/>
      <c r="P342" s="3"/>
      <c r="Q342" s="3"/>
      <c r="R342" s="3"/>
      <c r="S342" s="3"/>
    </row>
    <row r="343" spans="1:19" ht="45" x14ac:dyDescent="0.25">
      <c r="A343" s="3"/>
      <c r="B343" s="1">
        <v>347</v>
      </c>
      <c r="C343" s="3" t="s">
        <v>795</v>
      </c>
      <c r="D343" s="3" t="s">
        <v>85</v>
      </c>
      <c r="E343" s="40" t="s">
        <v>1077</v>
      </c>
      <c r="F343" s="4">
        <v>630.96</v>
      </c>
      <c r="G343" s="3" t="s">
        <v>851</v>
      </c>
      <c r="H343" s="3" t="s">
        <v>81</v>
      </c>
      <c r="I343" s="3" t="s">
        <v>19</v>
      </c>
      <c r="J343" s="8" t="s">
        <v>3</v>
      </c>
      <c r="K343" s="3" t="s">
        <v>854</v>
      </c>
      <c r="L343" s="3"/>
      <c r="M343" s="3"/>
      <c r="N343" s="3"/>
      <c r="O343" s="3"/>
      <c r="P343" s="3"/>
      <c r="Q343" s="3"/>
      <c r="R343" s="3"/>
      <c r="S343" s="3"/>
    </row>
    <row r="344" spans="1:19" ht="45" x14ac:dyDescent="0.25">
      <c r="A344" s="3"/>
      <c r="B344" s="1">
        <v>348</v>
      </c>
      <c r="C344" s="3" t="s">
        <v>444</v>
      </c>
      <c r="D344" s="3" t="s">
        <v>543</v>
      </c>
      <c r="E344" s="40">
        <v>700</v>
      </c>
      <c r="F344" s="4">
        <v>700</v>
      </c>
      <c r="G344" s="3" t="s">
        <v>851</v>
      </c>
      <c r="H344" s="3" t="s">
        <v>81</v>
      </c>
      <c r="I344" s="3" t="s">
        <v>19</v>
      </c>
      <c r="J344" s="8" t="s">
        <v>3</v>
      </c>
      <c r="K344" s="3" t="s">
        <v>855</v>
      </c>
      <c r="L344" s="3"/>
      <c r="M344" s="3"/>
      <c r="N344" s="3"/>
      <c r="O344" s="3"/>
      <c r="P344" s="3"/>
      <c r="Q344" s="3"/>
      <c r="R344" s="3"/>
      <c r="S344" s="3"/>
    </row>
    <row r="345" spans="1:19" ht="45" x14ac:dyDescent="0.25">
      <c r="A345" s="3"/>
      <c r="B345" s="3">
        <v>349</v>
      </c>
      <c r="C345" s="3" t="s">
        <v>542</v>
      </c>
      <c r="D345" s="3" t="s">
        <v>543</v>
      </c>
      <c r="E345" s="40" t="s">
        <v>1078</v>
      </c>
      <c r="F345" s="4">
        <v>5430</v>
      </c>
      <c r="G345" s="3" t="s">
        <v>851</v>
      </c>
      <c r="H345" s="3" t="s">
        <v>81</v>
      </c>
      <c r="I345" s="3" t="s">
        <v>19</v>
      </c>
      <c r="J345" s="8" t="s">
        <v>3</v>
      </c>
      <c r="K345" s="3" t="s">
        <v>856</v>
      </c>
      <c r="L345" s="3"/>
      <c r="M345" s="3"/>
      <c r="N345" s="3"/>
      <c r="O345" s="3"/>
      <c r="P345" s="3"/>
      <c r="Q345" s="3"/>
      <c r="R345" s="3"/>
      <c r="S345" s="3"/>
    </row>
    <row r="346" spans="1:19" ht="45" x14ac:dyDescent="0.25">
      <c r="A346" s="3"/>
      <c r="B346" s="3">
        <v>350</v>
      </c>
      <c r="C346" s="3" t="s">
        <v>393</v>
      </c>
      <c r="D346" s="3" t="s">
        <v>83</v>
      </c>
      <c r="E346" s="40" t="s">
        <v>1076</v>
      </c>
      <c r="F346" s="4">
        <v>2630</v>
      </c>
      <c r="G346" s="3" t="s">
        <v>851</v>
      </c>
      <c r="H346" s="3" t="s">
        <v>81</v>
      </c>
      <c r="I346" s="3" t="s">
        <v>19</v>
      </c>
      <c r="J346" s="8" t="s">
        <v>3</v>
      </c>
      <c r="K346" s="3" t="s">
        <v>857</v>
      </c>
      <c r="L346" s="3"/>
      <c r="M346" s="3"/>
      <c r="N346" s="3"/>
      <c r="O346" s="3"/>
      <c r="P346" s="3"/>
      <c r="Q346" s="3"/>
      <c r="R346" s="3"/>
      <c r="S346" s="3"/>
    </row>
    <row r="347" spans="1:19" ht="45" x14ac:dyDescent="0.25">
      <c r="A347" s="3"/>
      <c r="B347" s="1">
        <v>351</v>
      </c>
      <c r="C347" s="3" t="s">
        <v>645</v>
      </c>
      <c r="D347" s="3" t="s">
        <v>89</v>
      </c>
      <c r="E347" s="40" t="s">
        <v>916</v>
      </c>
      <c r="F347" s="4">
        <v>1040</v>
      </c>
      <c r="G347" s="3" t="s">
        <v>851</v>
      </c>
      <c r="H347" s="3" t="s">
        <v>81</v>
      </c>
      <c r="I347" s="3" t="s">
        <v>19</v>
      </c>
      <c r="J347" s="8" t="s">
        <v>3</v>
      </c>
      <c r="K347" s="3" t="s">
        <v>858</v>
      </c>
      <c r="L347" s="3"/>
      <c r="M347" s="3"/>
      <c r="N347" s="3"/>
      <c r="O347" s="3"/>
      <c r="P347" s="3"/>
      <c r="Q347" s="3"/>
      <c r="R347" s="3"/>
      <c r="S347" s="3"/>
    </row>
    <row r="348" spans="1:19" ht="22.5" x14ac:dyDescent="0.25">
      <c r="A348" s="3"/>
      <c r="B348" s="1">
        <v>352</v>
      </c>
      <c r="C348" s="3" t="s">
        <v>796</v>
      </c>
      <c r="D348" s="3" t="s">
        <v>797</v>
      </c>
      <c r="E348" s="41">
        <v>1045</v>
      </c>
      <c r="F348" s="4">
        <v>1045</v>
      </c>
      <c r="G348" s="3" t="s">
        <v>851</v>
      </c>
      <c r="H348" s="3" t="s">
        <v>81</v>
      </c>
      <c r="I348" s="3" t="s">
        <v>19</v>
      </c>
      <c r="J348" s="8" t="s">
        <v>859</v>
      </c>
      <c r="K348" s="3"/>
      <c r="L348" s="3"/>
      <c r="M348" s="3"/>
      <c r="N348" s="3"/>
      <c r="O348" s="3"/>
      <c r="P348" s="3"/>
      <c r="Q348" s="3"/>
      <c r="R348" s="3"/>
      <c r="S348" s="3"/>
    </row>
    <row r="349" spans="1:19" ht="45" x14ac:dyDescent="0.25">
      <c r="A349" s="3"/>
      <c r="B349" s="3">
        <v>353</v>
      </c>
      <c r="C349" s="3" t="s">
        <v>798</v>
      </c>
      <c r="D349" s="3" t="s">
        <v>89</v>
      </c>
      <c r="E349" s="40">
        <v>337.3</v>
      </c>
      <c r="F349" s="4">
        <v>360</v>
      </c>
      <c r="G349" s="3" t="s">
        <v>860</v>
      </c>
      <c r="H349" s="3" t="s">
        <v>81</v>
      </c>
      <c r="I349" s="3" t="s">
        <v>19</v>
      </c>
      <c r="J349" s="8" t="s">
        <v>3</v>
      </c>
      <c r="K349" s="3" t="s">
        <v>861</v>
      </c>
      <c r="L349" s="3"/>
      <c r="M349" s="3"/>
      <c r="N349" s="3"/>
      <c r="O349" s="3"/>
      <c r="P349" s="3"/>
      <c r="Q349" s="3"/>
      <c r="R349" s="3"/>
      <c r="S349" s="3"/>
    </row>
    <row r="350" spans="1:19" ht="45" x14ac:dyDescent="0.25">
      <c r="A350" s="3"/>
      <c r="B350" s="3">
        <v>354</v>
      </c>
      <c r="C350" s="3" t="s">
        <v>799</v>
      </c>
      <c r="D350" s="3" t="s">
        <v>89</v>
      </c>
      <c r="E350" s="40" t="s">
        <v>913</v>
      </c>
      <c r="F350" s="4">
        <v>1110</v>
      </c>
      <c r="G350" s="3" t="s">
        <v>860</v>
      </c>
      <c r="H350" s="3" t="s">
        <v>81</v>
      </c>
      <c r="I350" s="3" t="s">
        <v>19</v>
      </c>
      <c r="J350" s="8" t="s">
        <v>3</v>
      </c>
      <c r="K350" s="3" t="s">
        <v>862</v>
      </c>
      <c r="L350" s="3"/>
      <c r="M350" s="3"/>
      <c r="N350" s="3"/>
      <c r="O350" s="3"/>
      <c r="P350" s="3"/>
      <c r="Q350" s="3"/>
      <c r="R350" s="3"/>
      <c r="S350" s="3"/>
    </row>
    <row r="351" spans="1:19" ht="45" x14ac:dyDescent="0.25">
      <c r="A351" s="3"/>
      <c r="B351" s="1">
        <v>355</v>
      </c>
      <c r="C351" s="3" t="s">
        <v>800</v>
      </c>
      <c r="D351" s="3" t="s">
        <v>85</v>
      </c>
      <c r="E351" s="40" t="s">
        <v>917</v>
      </c>
      <c r="F351" s="4">
        <v>1275</v>
      </c>
      <c r="G351" s="3" t="s">
        <v>860</v>
      </c>
      <c r="H351" s="3" t="s">
        <v>81</v>
      </c>
      <c r="I351" s="3" t="s">
        <v>19</v>
      </c>
      <c r="J351" s="8" t="s">
        <v>3</v>
      </c>
      <c r="K351" s="3" t="s">
        <v>863</v>
      </c>
      <c r="L351" s="3"/>
      <c r="M351" s="3"/>
      <c r="N351" s="3"/>
      <c r="O351" s="3"/>
      <c r="P351" s="3"/>
      <c r="Q351" s="3"/>
      <c r="R351" s="3"/>
      <c r="S351" s="3"/>
    </row>
    <row r="352" spans="1:19" ht="45" x14ac:dyDescent="0.25">
      <c r="A352" s="3"/>
      <c r="B352" s="1">
        <v>356</v>
      </c>
      <c r="C352" s="3" t="s">
        <v>801</v>
      </c>
      <c r="D352" s="3" t="s">
        <v>89</v>
      </c>
      <c r="E352" s="40" t="s">
        <v>915</v>
      </c>
      <c r="F352" s="4">
        <v>360</v>
      </c>
      <c r="G352" s="3" t="s">
        <v>860</v>
      </c>
      <c r="H352" s="3" t="s">
        <v>81</v>
      </c>
      <c r="I352" s="3" t="s">
        <v>19</v>
      </c>
      <c r="J352" s="8" t="s">
        <v>3</v>
      </c>
      <c r="K352" s="3" t="s">
        <v>864</v>
      </c>
      <c r="L352" s="3"/>
      <c r="M352" s="3"/>
      <c r="N352" s="3"/>
      <c r="O352" s="3"/>
      <c r="P352" s="3"/>
      <c r="Q352" s="3"/>
      <c r="R352" s="3"/>
      <c r="S352" s="3"/>
    </row>
    <row r="353" spans="1:19" ht="56.25" customHeight="1" x14ac:dyDescent="0.25">
      <c r="A353" s="3"/>
      <c r="B353" s="3">
        <v>357</v>
      </c>
      <c r="C353" s="3" t="s">
        <v>802</v>
      </c>
      <c r="D353" s="3" t="s">
        <v>803</v>
      </c>
      <c r="E353" s="40" t="s">
        <v>507</v>
      </c>
      <c r="F353" s="4">
        <v>50</v>
      </c>
      <c r="G353" s="3" t="s">
        <v>860</v>
      </c>
      <c r="H353" s="3" t="s">
        <v>81</v>
      </c>
      <c r="I353" s="3" t="s">
        <v>19</v>
      </c>
      <c r="J353" s="8" t="s">
        <v>3</v>
      </c>
      <c r="K353" s="3" t="s">
        <v>865</v>
      </c>
      <c r="L353" s="3"/>
      <c r="M353" s="3"/>
      <c r="N353" s="3"/>
      <c r="O353" s="3"/>
      <c r="P353" s="3"/>
      <c r="Q353" s="3"/>
      <c r="R353" s="3"/>
      <c r="S353" s="3"/>
    </row>
    <row r="354" spans="1:19" ht="45" x14ac:dyDescent="0.25">
      <c r="A354" s="3"/>
      <c r="B354" s="3">
        <v>358</v>
      </c>
      <c r="C354" s="3" t="s">
        <v>642</v>
      </c>
      <c r="D354" s="3" t="s">
        <v>89</v>
      </c>
      <c r="E354" s="40">
        <v>175.94</v>
      </c>
      <c r="F354" s="4">
        <v>180</v>
      </c>
      <c r="G354" s="3" t="s">
        <v>860</v>
      </c>
      <c r="H354" s="3" t="s">
        <v>81</v>
      </c>
      <c r="I354" s="3" t="s">
        <v>19</v>
      </c>
      <c r="J354" s="8" t="s">
        <v>3</v>
      </c>
      <c r="K354" s="3" t="s">
        <v>914</v>
      </c>
      <c r="L354" s="3"/>
      <c r="M354" s="3"/>
      <c r="N354" s="3"/>
      <c r="O354" s="3"/>
      <c r="P354" s="3"/>
      <c r="Q354" s="3"/>
      <c r="R354" s="3"/>
      <c r="S354" s="3"/>
    </row>
    <row r="355" spans="1:19" ht="90" x14ac:dyDescent="0.25">
      <c r="A355" s="3"/>
      <c r="B355" s="1">
        <v>359</v>
      </c>
      <c r="C355" s="3" t="s">
        <v>804</v>
      </c>
      <c r="D355" s="3" t="s">
        <v>805</v>
      </c>
      <c r="E355" s="40" t="s">
        <v>1392</v>
      </c>
      <c r="F355" s="4">
        <v>46930</v>
      </c>
      <c r="G355" s="3" t="s">
        <v>860</v>
      </c>
      <c r="H355" s="3" t="s">
        <v>81</v>
      </c>
      <c r="I355" s="3" t="s">
        <v>19</v>
      </c>
      <c r="J355" s="10" t="s">
        <v>866</v>
      </c>
      <c r="K355" s="3" t="s">
        <v>867</v>
      </c>
      <c r="L355" s="3"/>
      <c r="M355" s="3"/>
      <c r="N355" s="3"/>
      <c r="O355" s="3"/>
      <c r="P355" s="3"/>
      <c r="Q355" s="3"/>
      <c r="R355" s="3"/>
      <c r="S355" s="3"/>
    </row>
    <row r="356" spans="1:19" ht="101.25" x14ac:dyDescent="0.25">
      <c r="A356" s="3"/>
      <c r="B356" s="1">
        <v>360</v>
      </c>
      <c r="C356" s="3" t="s">
        <v>806</v>
      </c>
      <c r="D356" s="3" t="s">
        <v>807</v>
      </c>
      <c r="E356" s="40" t="s">
        <v>1108</v>
      </c>
      <c r="F356" s="4">
        <v>3660</v>
      </c>
      <c r="G356" s="3" t="s">
        <v>860</v>
      </c>
      <c r="H356" s="3" t="s">
        <v>81</v>
      </c>
      <c r="I356" s="3" t="s">
        <v>19</v>
      </c>
      <c r="J356" s="10" t="s">
        <v>284</v>
      </c>
      <c r="K356" s="3" t="s">
        <v>868</v>
      </c>
      <c r="L356" s="3"/>
      <c r="M356" s="3"/>
      <c r="N356" s="3"/>
      <c r="O356" s="3"/>
      <c r="P356" s="3"/>
      <c r="Q356" s="3"/>
      <c r="R356" s="3"/>
      <c r="S356" s="3"/>
    </row>
    <row r="357" spans="1:19" ht="39" customHeight="1" x14ac:dyDescent="0.25">
      <c r="A357" s="3"/>
      <c r="B357" s="3">
        <v>361</v>
      </c>
      <c r="C357" s="57" t="s">
        <v>808</v>
      </c>
      <c r="D357" s="3" t="s">
        <v>809</v>
      </c>
      <c r="E357" s="40">
        <f>1642.6+14783.37+9870.75+4936.4+1099.85</f>
        <v>32332.97</v>
      </c>
      <c r="F357" s="4">
        <v>32332.97</v>
      </c>
      <c r="G357" s="5" t="s">
        <v>869</v>
      </c>
      <c r="H357" s="6" t="s">
        <v>81</v>
      </c>
      <c r="I357" s="3" t="s">
        <v>19</v>
      </c>
      <c r="J357" s="10" t="s">
        <v>566</v>
      </c>
      <c r="K357" s="3" t="s">
        <v>870</v>
      </c>
      <c r="L357" s="3"/>
      <c r="M357" s="3"/>
      <c r="N357" s="3"/>
      <c r="O357" s="3"/>
      <c r="P357" s="3"/>
      <c r="Q357" s="3"/>
      <c r="R357" s="3"/>
      <c r="S357" s="3"/>
    </row>
    <row r="358" spans="1:19" ht="36.75" customHeight="1" x14ac:dyDescent="0.25">
      <c r="A358" s="3"/>
      <c r="B358" s="3">
        <v>362</v>
      </c>
      <c r="C358" s="3" t="s">
        <v>810</v>
      </c>
      <c r="D358" s="3" t="s">
        <v>811</v>
      </c>
      <c r="E358" s="41">
        <f>3450+2555+2765</f>
        <v>8770</v>
      </c>
      <c r="F358" s="4">
        <v>8770</v>
      </c>
      <c r="G358" s="5" t="s">
        <v>869</v>
      </c>
      <c r="H358" s="6" t="s">
        <v>26</v>
      </c>
      <c r="I358" s="3" t="s">
        <v>9</v>
      </c>
      <c r="J358" s="3" t="s">
        <v>871</v>
      </c>
      <c r="K358" s="3"/>
      <c r="L358" s="3"/>
      <c r="M358" s="3"/>
      <c r="N358" s="3"/>
      <c r="O358" s="3"/>
      <c r="P358" s="3"/>
      <c r="Q358" s="3"/>
      <c r="R358" s="3"/>
      <c r="S358" s="3"/>
    </row>
    <row r="359" spans="1:19" ht="45" x14ac:dyDescent="0.25">
      <c r="A359" s="3"/>
      <c r="B359" s="1">
        <v>363</v>
      </c>
      <c r="C359" s="3" t="s">
        <v>812</v>
      </c>
      <c r="D359" s="3" t="s">
        <v>297</v>
      </c>
      <c r="E359" s="40" t="s">
        <v>1097</v>
      </c>
      <c r="F359" s="4">
        <v>2997.2</v>
      </c>
      <c r="G359" s="5" t="s">
        <v>869</v>
      </c>
      <c r="H359" s="6" t="s">
        <v>81</v>
      </c>
      <c r="I359" s="3" t="s">
        <v>19</v>
      </c>
      <c r="J359" s="3" t="s">
        <v>3</v>
      </c>
      <c r="K359" s="3" t="s">
        <v>872</v>
      </c>
      <c r="L359" s="3"/>
      <c r="M359" s="3"/>
      <c r="N359" s="3"/>
      <c r="O359" s="3"/>
      <c r="P359" s="3"/>
      <c r="Q359" s="3"/>
      <c r="R359" s="3"/>
      <c r="S359" s="3"/>
    </row>
    <row r="360" spans="1:19" ht="90" x14ac:dyDescent="0.25">
      <c r="A360" s="3"/>
      <c r="B360" s="1">
        <v>364</v>
      </c>
      <c r="C360" s="3" t="s">
        <v>813</v>
      </c>
      <c r="D360" s="3" t="s">
        <v>814</v>
      </c>
      <c r="E360" s="40">
        <f>120110+21613.5</f>
        <v>141723.5</v>
      </c>
      <c r="F360" s="4">
        <v>147500</v>
      </c>
      <c r="G360" s="5" t="s">
        <v>869</v>
      </c>
      <c r="H360" s="6" t="s">
        <v>81</v>
      </c>
      <c r="I360" s="3" t="s">
        <v>19</v>
      </c>
      <c r="J360" s="3" t="s">
        <v>566</v>
      </c>
      <c r="K360" s="3" t="s">
        <v>873</v>
      </c>
      <c r="L360" s="3"/>
      <c r="M360" s="3"/>
      <c r="N360" s="3"/>
      <c r="O360" s="3"/>
      <c r="P360" s="3"/>
      <c r="Q360" s="3"/>
      <c r="R360" s="3"/>
      <c r="S360" s="3"/>
    </row>
    <row r="361" spans="1:19" ht="45" x14ac:dyDescent="0.25">
      <c r="A361" s="3"/>
      <c r="B361" s="3">
        <v>365</v>
      </c>
      <c r="C361" s="3" t="s">
        <v>645</v>
      </c>
      <c r="D361" s="3" t="s">
        <v>89</v>
      </c>
      <c r="E361" s="40" t="s">
        <v>921</v>
      </c>
      <c r="F361" s="4">
        <v>1100</v>
      </c>
      <c r="G361" s="5" t="s">
        <v>869</v>
      </c>
      <c r="H361" s="6" t="s">
        <v>81</v>
      </c>
      <c r="I361" s="3" t="s">
        <v>19</v>
      </c>
      <c r="J361" s="3" t="s">
        <v>3</v>
      </c>
      <c r="K361" s="3" t="s">
        <v>874</v>
      </c>
      <c r="L361" s="3"/>
      <c r="M361" s="3"/>
      <c r="N361" s="3"/>
      <c r="O361" s="3"/>
      <c r="P361" s="3"/>
      <c r="Q361" s="3"/>
      <c r="R361" s="3"/>
      <c r="S361" s="3"/>
    </row>
    <row r="362" spans="1:19" ht="45" x14ac:dyDescent="0.25">
      <c r="A362" s="3"/>
      <c r="B362" s="3">
        <v>366</v>
      </c>
      <c r="C362" s="3" t="s">
        <v>494</v>
      </c>
      <c r="D362" s="3" t="s">
        <v>815</v>
      </c>
      <c r="E362" s="40">
        <v>162</v>
      </c>
      <c r="F362" s="4">
        <v>162</v>
      </c>
      <c r="G362" s="5" t="s">
        <v>875</v>
      </c>
      <c r="H362" s="6" t="s">
        <v>81</v>
      </c>
      <c r="I362" s="3" t="s">
        <v>19</v>
      </c>
      <c r="J362" s="10" t="s">
        <v>11</v>
      </c>
      <c r="K362" s="3" t="s">
        <v>1122</v>
      </c>
      <c r="L362" s="3"/>
      <c r="M362" s="3"/>
      <c r="N362" s="3"/>
      <c r="O362" s="3"/>
      <c r="P362" s="3"/>
      <c r="Q362" s="3"/>
      <c r="R362" s="3"/>
      <c r="S362" s="3"/>
    </row>
    <row r="363" spans="1:19" ht="45" x14ac:dyDescent="0.25">
      <c r="A363" s="3"/>
      <c r="B363" s="1">
        <v>367</v>
      </c>
      <c r="C363" s="3" t="s">
        <v>816</v>
      </c>
      <c r="D363" s="3" t="s">
        <v>817</v>
      </c>
      <c r="E363" s="40" t="s">
        <v>1112</v>
      </c>
      <c r="F363" s="4">
        <v>1000</v>
      </c>
      <c r="G363" s="5" t="s">
        <v>876</v>
      </c>
      <c r="H363" s="6" t="s">
        <v>81</v>
      </c>
      <c r="I363" s="3" t="s">
        <v>19</v>
      </c>
      <c r="J363" s="10" t="s">
        <v>11</v>
      </c>
      <c r="K363" s="3" t="s">
        <v>877</v>
      </c>
      <c r="L363" s="3"/>
      <c r="M363" s="3"/>
      <c r="N363" s="3"/>
      <c r="O363" s="3"/>
      <c r="P363" s="3"/>
      <c r="Q363" s="3"/>
      <c r="R363" s="3"/>
      <c r="S363" s="3"/>
    </row>
    <row r="364" spans="1:19" ht="45" x14ac:dyDescent="0.25">
      <c r="A364" s="3"/>
      <c r="B364" s="1">
        <v>368</v>
      </c>
      <c r="C364" s="3" t="s">
        <v>816</v>
      </c>
      <c r="D364" s="3" t="s">
        <v>818</v>
      </c>
      <c r="E364" s="40" t="s">
        <v>1111</v>
      </c>
      <c r="F364" s="4">
        <v>202.5</v>
      </c>
      <c r="G364" s="5" t="s">
        <v>876</v>
      </c>
      <c r="H364" s="6" t="s">
        <v>81</v>
      </c>
      <c r="I364" s="3" t="s">
        <v>19</v>
      </c>
      <c r="J364" s="10" t="s">
        <v>11</v>
      </c>
      <c r="K364" s="3" t="s">
        <v>878</v>
      </c>
      <c r="L364" s="3"/>
      <c r="M364" s="3"/>
      <c r="N364" s="3"/>
      <c r="O364" s="3"/>
      <c r="P364" s="3"/>
      <c r="Q364" s="3"/>
      <c r="R364" s="3"/>
      <c r="S364" s="3"/>
    </row>
    <row r="365" spans="1:19" ht="101.25" x14ac:dyDescent="0.25">
      <c r="A365" s="3"/>
      <c r="B365" s="3">
        <v>369</v>
      </c>
      <c r="C365" s="3" t="s">
        <v>819</v>
      </c>
      <c r="D365" s="3" t="s">
        <v>820</v>
      </c>
      <c r="E365" s="40">
        <f>10124.4*4+1700</f>
        <v>42197.599999999999</v>
      </c>
      <c r="F365" s="4">
        <v>50622</v>
      </c>
      <c r="G365" s="5" t="s">
        <v>876</v>
      </c>
      <c r="H365" s="6" t="s">
        <v>26</v>
      </c>
      <c r="I365" s="3" t="s">
        <v>19</v>
      </c>
      <c r="J365" s="10" t="s">
        <v>566</v>
      </c>
      <c r="K365" s="3" t="s">
        <v>879</v>
      </c>
      <c r="L365" s="3"/>
      <c r="M365" s="3"/>
      <c r="N365" s="3"/>
      <c r="O365" s="3"/>
      <c r="P365" s="3"/>
      <c r="Q365" s="3"/>
      <c r="R365" s="3"/>
      <c r="S365" s="3"/>
    </row>
    <row r="366" spans="1:19" ht="22.5" x14ac:dyDescent="0.25">
      <c r="A366" s="3"/>
      <c r="B366" s="3">
        <v>370</v>
      </c>
      <c r="C366" s="3" t="s">
        <v>821</v>
      </c>
      <c r="D366" s="3" t="s">
        <v>822</v>
      </c>
      <c r="E366" s="43">
        <f>540+810+260+403+1350</f>
        <v>3363</v>
      </c>
      <c r="F366" s="4">
        <v>7999</v>
      </c>
      <c r="G366" s="5" t="s">
        <v>876</v>
      </c>
      <c r="H366" s="6" t="s">
        <v>26</v>
      </c>
      <c r="I366" s="3" t="s">
        <v>9</v>
      </c>
      <c r="J366" s="3" t="s">
        <v>880</v>
      </c>
      <c r="K366" s="3"/>
      <c r="L366" s="3"/>
      <c r="M366" s="3"/>
      <c r="N366" s="3"/>
      <c r="O366" s="3"/>
      <c r="P366" s="3"/>
      <c r="Q366" s="3"/>
      <c r="R366" s="3"/>
      <c r="S366" s="3"/>
    </row>
    <row r="367" spans="1:19" ht="45" x14ac:dyDescent="0.25">
      <c r="A367" s="3"/>
      <c r="B367" s="1">
        <v>371</v>
      </c>
      <c r="C367" s="3" t="s">
        <v>625</v>
      </c>
      <c r="D367" s="3" t="s">
        <v>85</v>
      </c>
      <c r="E367" s="40" t="s">
        <v>10</v>
      </c>
      <c r="F367" s="4">
        <v>560</v>
      </c>
      <c r="G367" s="5" t="s">
        <v>876</v>
      </c>
      <c r="H367" s="6" t="s">
        <v>81</v>
      </c>
      <c r="I367" s="3" t="s">
        <v>19</v>
      </c>
      <c r="J367" s="3" t="s">
        <v>3</v>
      </c>
      <c r="K367" s="3" t="s">
        <v>1094</v>
      </c>
      <c r="L367" s="3"/>
      <c r="M367" s="3"/>
      <c r="N367" s="3"/>
      <c r="O367" s="3"/>
      <c r="P367" s="3"/>
      <c r="Q367" s="3"/>
      <c r="R367" s="3"/>
      <c r="S367" s="3"/>
    </row>
    <row r="368" spans="1:19" ht="45" x14ac:dyDescent="0.25">
      <c r="A368" s="3"/>
      <c r="B368" s="1">
        <v>372</v>
      </c>
      <c r="C368" s="3" t="s">
        <v>625</v>
      </c>
      <c r="D368" s="3" t="s">
        <v>89</v>
      </c>
      <c r="E368" s="40">
        <v>58</v>
      </c>
      <c r="F368" s="4">
        <v>360</v>
      </c>
      <c r="G368" s="5" t="s">
        <v>876</v>
      </c>
      <c r="H368" s="6" t="s">
        <v>81</v>
      </c>
      <c r="I368" s="3" t="s">
        <v>19</v>
      </c>
      <c r="J368" s="17" t="s">
        <v>3</v>
      </c>
      <c r="K368" s="3" t="s">
        <v>1095</v>
      </c>
      <c r="L368" s="3"/>
      <c r="M368" s="3"/>
      <c r="N368" s="3"/>
      <c r="O368" s="3"/>
      <c r="P368" s="3"/>
      <c r="Q368" s="3"/>
      <c r="R368" s="3"/>
      <c r="S368" s="3"/>
    </row>
    <row r="369" spans="1:19" ht="45" x14ac:dyDescent="0.25">
      <c r="A369" s="3"/>
      <c r="B369" s="3">
        <v>373</v>
      </c>
      <c r="C369" s="3" t="s">
        <v>823</v>
      </c>
      <c r="D369" s="3" t="s">
        <v>543</v>
      </c>
      <c r="E369" s="40">
        <v>790</v>
      </c>
      <c r="F369" s="4">
        <v>790</v>
      </c>
      <c r="G369" s="5" t="s">
        <v>876</v>
      </c>
      <c r="H369" s="6" t="s">
        <v>81</v>
      </c>
      <c r="I369" s="3" t="s">
        <v>19</v>
      </c>
      <c r="J369" s="8" t="s">
        <v>3</v>
      </c>
      <c r="K369" s="3" t="s">
        <v>1096</v>
      </c>
      <c r="L369" s="3"/>
      <c r="M369" s="3"/>
      <c r="N369" s="3"/>
      <c r="O369" s="3"/>
      <c r="P369" s="3"/>
      <c r="Q369" s="3"/>
      <c r="R369" s="3"/>
      <c r="S369" s="3"/>
    </row>
    <row r="370" spans="1:19" ht="45" x14ac:dyDescent="0.25">
      <c r="A370" s="3"/>
      <c r="B370" s="3">
        <v>374</v>
      </c>
      <c r="C370" s="3" t="s">
        <v>799</v>
      </c>
      <c r="D370" s="3" t="s">
        <v>89</v>
      </c>
      <c r="E370" s="40" t="s">
        <v>1091</v>
      </c>
      <c r="F370" s="4">
        <v>120</v>
      </c>
      <c r="G370" s="5" t="s">
        <v>876</v>
      </c>
      <c r="H370" s="6" t="s">
        <v>81</v>
      </c>
      <c r="I370" s="3" t="s">
        <v>19</v>
      </c>
      <c r="J370" s="8" t="s">
        <v>3</v>
      </c>
      <c r="K370" s="3" t="s">
        <v>1088</v>
      </c>
      <c r="L370" s="3"/>
      <c r="M370" s="3"/>
      <c r="N370" s="3"/>
      <c r="O370" s="3"/>
      <c r="P370" s="3"/>
      <c r="Q370" s="3"/>
      <c r="R370" s="3"/>
      <c r="S370" s="3"/>
    </row>
    <row r="371" spans="1:19" ht="45" x14ac:dyDescent="0.25">
      <c r="A371" s="3"/>
      <c r="B371" s="1">
        <v>375</v>
      </c>
      <c r="C371" s="3" t="s">
        <v>614</v>
      </c>
      <c r="D371" s="3" t="s">
        <v>89</v>
      </c>
      <c r="E371" s="40" t="s">
        <v>1440</v>
      </c>
      <c r="F371" s="4">
        <v>100</v>
      </c>
      <c r="G371" s="5" t="s">
        <v>876</v>
      </c>
      <c r="H371" s="6" t="s">
        <v>81</v>
      </c>
      <c r="I371" s="3" t="s">
        <v>19</v>
      </c>
      <c r="J371" s="8" t="s">
        <v>3</v>
      </c>
      <c r="K371" s="3" t="s">
        <v>1089</v>
      </c>
      <c r="L371" s="3"/>
      <c r="M371" s="3"/>
      <c r="N371" s="3"/>
      <c r="O371" s="3"/>
      <c r="P371" s="3"/>
      <c r="Q371" s="3"/>
      <c r="R371" s="3"/>
      <c r="S371" s="3"/>
    </row>
    <row r="372" spans="1:19" ht="45" x14ac:dyDescent="0.25">
      <c r="A372" s="3"/>
      <c r="B372" s="1">
        <v>376</v>
      </c>
      <c r="C372" s="3" t="s">
        <v>824</v>
      </c>
      <c r="D372" s="3" t="s">
        <v>89</v>
      </c>
      <c r="E372" s="40" t="s">
        <v>1093</v>
      </c>
      <c r="F372" s="4">
        <v>100</v>
      </c>
      <c r="G372" s="5" t="s">
        <v>876</v>
      </c>
      <c r="H372" s="6" t="s">
        <v>81</v>
      </c>
      <c r="I372" s="3" t="s">
        <v>19</v>
      </c>
      <c r="J372" s="8" t="s">
        <v>3</v>
      </c>
      <c r="K372" s="3" t="s">
        <v>1090</v>
      </c>
      <c r="L372" s="3"/>
      <c r="M372" s="3"/>
      <c r="N372" s="3"/>
      <c r="O372" s="3"/>
      <c r="P372" s="3"/>
      <c r="Q372" s="3"/>
      <c r="R372" s="3"/>
      <c r="S372" s="3"/>
    </row>
    <row r="373" spans="1:19" ht="45" x14ac:dyDescent="0.25">
      <c r="A373" s="3"/>
      <c r="B373" s="3">
        <v>377</v>
      </c>
      <c r="C373" s="3" t="s">
        <v>825</v>
      </c>
      <c r="D373" s="3" t="s">
        <v>89</v>
      </c>
      <c r="E373" s="40">
        <v>120</v>
      </c>
      <c r="F373" s="4">
        <v>100</v>
      </c>
      <c r="G373" s="5" t="s">
        <v>876</v>
      </c>
      <c r="H373" s="6" t="s">
        <v>81</v>
      </c>
      <c r="I373" s="3" t="s">
        <v>19</v>
      </c>
      <c r="J373" s="8" t="s">
        <v>3</v>
      </c>
      <c r="K373" s="3" t="s">
        <v>1083</v>
      </c>
      <c r="L373" s="3"/>
      <c r="M373" s="3"/>
      <c r="N373" s="3"/>
      <c r="O373" s="3"/>
      <c r="P373" s="3"/>
      <c r="Q373" s="3"/>
      <c r="R373" s="3"/>
      <c r="S373" s="3"/>
    </row>
    <row r="374" spans="1:19" ht="45" x14ac:dyDescent="0.25">
      <c r="A374" s="3"/>
      <c r="B374" s="1">
        <v>380</v>
      </c>
      <c r="C374" s="3" t="s">
        <v>405</v>
      </c>
      <c r="D374" s="3" t="s">
        <v>85</v>
      </c>
      <c r="E374" s="40">
        <v>180</v>
      </c>
      <c r="F374" s="4">
        <v>180</v>
      </c>
      <c r="G374" s="5" t="s">
        <v>876</v>
      </c>
      <c r="H374" s="6" t="s">
        <v>81</v>
      </c>
      <c r="I374" s="3" t="s">
        <v>19</v>
      </c>
      <c r="J374" s="8" t="s">
        <v>3</v>
      </c>
      <c r="K374" s="3" t="s">
        <v>1084</v>
      </c>
      <c r="L374" s="3"/>
      <c r="M374" s="3"/>
      <c r="N374" s="3"/>
      <c r="O374" s="3"/>
      <c r="P374" s="3"/>
      <c r="Q374" s="3"/>
      <c r="R374" s="3"/>
      <c r="S374" s="3"/>
    </row>
    <row r="375" spans="1:19" ht="45" x14ac:dyDescent="0.25">
      <c r="A375" s="3"/>
      <c r="B375" s="3">
        <v>381</v>
      </c>
      <c r="C375" s="3" t="s">
        <v>826</v>
      </c>
      <c r="D375" s="3" t="s">
        <v>85</v>
      </c>
      <c r="E375" s="40">
        <v>200</v>
      </c>
      <c r="F375" s="4">
        <v>200</v>
      </c>
      <c r="G375" s="5" t="s">
        <v>876</v>
      </c>
      <c r="H375" s="6" t="s">
        <v>81</v>
      </c>
      <c r="I375" s="3" t="s">
        <v>19</v>
      </c>
      <c r="J375" s="8" t="s">
        <v>3</v>
      </c>
      <c r="K375" s="3" t="s">
        <v>1085</v>
      </c>
      <c r="L375" s="3"/>
      <c r="M375" s="3"/>
      <c r="N375" s="3"/>
      <c r="O375" s="3"/>
      <c r="P375" s="3"/>
      <c r="Q375" s="3"/>
      <c r="R375" s="3"/>
      <c r="S375" s="3"/>
    </row>
    <row r="376" spans="1:19" ht="45" x14ac:dyDescent="0.25">
      <c r="A376" s="3"/>
      <c r="B376" s="3">
        <v>382</v>
      </c>
      <c r="C376" s="3" t="s">
        <v>603</v>
      </c>
      <c r="D376" s="3" t="s">
        <v>85</v>
      </c>
      <c r="E376" s="40">
        <v>495.02</v>
      </c>
      <c r="F376" s="58">
        <v>490</v>
      </c>
      <c r="G376" s="5" t="s">
        <v>876</v>
      </c>
      <c r="H376" s="6" t="s">
        <v>81</v>
      </c>
      <c r="I376" s="3" t="s">
        <v>19</v>
      </c>
      <c r="J376" s="8" t="s">
        <v>3</v>
      </c>
      <c r="K376" s="3" t="s">
        <v>1086</v>
      </c>
      <c r="L376" s="3"/>
      <c r="M376" s="3"/>
      <c r="N376" s="3"/>
      <c r="O376" s="3"/>
      <c r="P376" s="3"/>
      <c r="Q376" s="3"/>
      <c r="R376" s="3"/>
      <c r="S376" s="3"/>
    </row>
    <row r="377" spans="1:19" ht="45" x14ac:dyDescent="0.25">
      <c r="A377" s="3"/>
      <c r="B377" s="1">
        <v>383</v>
      </c>
      <c r="C377" s="3" t="s">
        <v>827</v>
      </c>
      <c r="D377" s="3" t="s">
        <v>543</v>
      </c>
      <c r="E377" s="59" t="s">
        <v>1082</v>
      </c>
      <c r="F377" s="4">
        <v>1410</v>
      </c>
      <c r="G377" s="5" t="s">
        <v>876</v>
      </c>
      <c r="H377" s="6" t="s">
        <v>81</v>
      </c>
      <c r="I377" s="3" t="s">
        <v>19</v>
      </c>
      <c r="J377" s="8" t="s">
        <v>3</v>
      </c>
      <c r="K377" s="3" t="s">
        <v>1081</v>
      </c>
      <c r="L377" s="3"/>
      <c r="M377" s="3"/>
      <c r="N377" s="3"/>
      <c r="O377" s="3"/>
      <c r="P377" s="3"/>
      <c r="Q377" s="3"/>
      <c r="R377" s="3"/>
      <c r="S377" s="3"/>
    </row>
    <row r="378" spans="1:19" ht="45" x14ac:dyDescent="0.25">
      <c r="A378" s="3"/>
      <c r="B378" s="1">
        <v>384</v>
      </c>
      <c r="C378" s="3" t="s">
        <v>827</v>
      </c>
      <c r="D378" s="3" t="s">
        <v>83</v>
      </c>
      <c r="E378" s="40" t="s">
        <v>1092</v>
      </c>
      <c r="F378" s="4">
        <v>1030</v>
      </c>
      <c r="G378" s="5" t="s">
        <v>876</v>
      </c>
      <c r="H378" s="6" t="s">
        <v>81</v>
      </c>
      <c r="I378" s="3" t="s">
        <v>19</v>
      </c>
      <c r="J378" s="8" t="s">
        <v>3</v>
      </c>
      <c r="K378" s="3" t="s">
        <v>1087</v>
      </c>
      <c r="L378" s="3"/>
      <c r="M378" s="3"/>
      <c r="N378" s="3"/>
      <c r="O378" s="3"/>
      <c r="P378" s="3"/>
      <c r="Q378" s="3"/>
      <c r="R378" s="3"/>
      <c r="S378" s="3"/>
    </row>
    <row r="379" spans="1:19" ht="45" x14ac:dyDescent="0.25">
      <c r="A379" s="3"/>
      <c r="B379" s="3">
        <v>386</v>
      </c>
      <c r="C379" s="3" t="s">
        <v>393</v>
      </c>
      <c r="D379" s="3" t="s">
        <v>83</v>
      </c>
      <c r="E379" s="40" t="s">
        <v>1075</v>
      </c>
      <c r="F379" s="4">
        <v>437.5</v>
      </c>
      <c r="G379" s="5" t="s">
        <v>881</v>
      </c>
      <c r="H379" s="6" t="s">
        <v>81</v>
      </c>
      <c r="I379" s="3" t="s">
        <v>19</v>
      </c>
      <c r="J379" s="8" t="s">
        <v>3</v>
      </c>
      <c r="K379" s="3" t="s">
        <v>882</v>
      </c>
      <c r="L379" s="3"/>
      <c r="M379" s="3"/>
      <c r="N379" s="3"/>
      <c r="O379" s="3"/>
      <c r="P379" s="3"/>
      <c r="Q379" s="3"/>
      <c r="R379" s="3"/>
      <c r="S379" s="3"/>
    </row>
    <row r="380" spans="1:19" ht="45" x14ac:dyDescent="0.25">
      <c r="A380" s="3"/>
      <c r="B380" s="1">
        <v>387</v>
      </c>
      <c r="C380" s="3" t="s">
        <v>393</v>
      </c>
      <c r="D380" s="3" t="s">
        <v>543</v>
      </c>
      <c r="E380" s="40">
        <v>500</v>
      </c>
      <c r="F380" s="4">
        <v>500</v>
      </c>
      <c r="G380" s="5" t="s">
        <v>881</v>
      </c>
      <c r="H380" s="6" t="s">
        <v>81</v>
      </c>
      <c r="I380" s="3" t="s">
        <v>19</v>
      </c>
      <c r="J380" s="8" t="s">
        <v>3</v>
      </c>
      <c r="K380" s="3" t="s">
        <v>883</v>
      </c>
      <c r="L380" s="3"/>
      <c r="M380" s="3"/>
      <c r="N380" s="3"/>
      <c r="O380" s="3"/>
      <c r="P380" s="3"/>
      <c r="Q380" s="3"/>
      <c r="R380" s="3"/>
      <c r="S380" s="3"/>
    </row>
    <row r="381" spans="1:19" ht="45" x14ac:dyDescent="0.25">
      <c r="A381" s="3"/>
      <c r="B381" s="1">
        <v>388</v>
      </c>
      <c r="C381" s="3" t="s">
        <v>828</v>
      </c>
      <c r="D381" s="3" t="s">
        <v>543</v>
      </c>
      <c r="E381" s="40" t="s">
        <v>488</v>
      </c>
      <c r="F381" s="4">
        <v>2250</v>
      </c>
      <c r="G381" s="5" t="s">
        <v>884</v>
      </c>
      <c r="H381" s="6" t="s">
        <v>81</v>
      </c>
      <c r="I381" s="3" t="s">
        <v>19</v>
      </c>
      <c r="J381" s="8" t="s">
        <v>3</v>
      </c>
      <c r="K381" s="3" t="s">
        <v>1099</v>
      </c>
      <c r="L381" s="3"/>
      <c r="M381" s="3"/>
      <c r="N381" s="3"/>
      <c r="O381" s="3"/>
      <c r="P381" s="3"/>
      <c r="Q381" s="3"/>
      <c r="R381" s="3"/>
      <c r="S381" s="3"/>
    </row>
    <row r="382" spans="1:19" ht="45" x14ac:dyDescent="0.25">
      <c r="A382" s="3"/>
      <c r="B382" s="3">
        <v>389</v>
      </c>
      <c r="C382" s="60" t="s">
        <v>114</v>
      </c>
      <c r="D382" s="60" t="s">
        <v>85</v>
      </c>
      <c r="E382" s="40">
        <v>105</v>
      </c>
      <c r="F382" s="61">
        <v>105</v>
      </c>
      <c r="G382" s="5" t="s">
        <v>884</v>
      </c>
      <c r="H382" s="6" t="s">
        <v>81</v>
      </c>
      <c r="I382" s="3" t="s">
        <v>19</v>
      </c>
      <c r="J382" s="8" t="s">
        <v>3</v>
      </c>
      <c r="K382" s="3" t="s">
        <v>1100</v>
      </c>
      <c r="L382" s="3"/>
      <c r="M382" s="3"/>
      <c r="N382" s="3"/>
      <c r="O382" s="3"/>
      <c r="P382" s="3"/>
      <c r="Q382" s="3"/>
      <c r="R382" s="3"/>
      <c r="S382" s="3"/>
    </row>
    <row r="383" spans="1:19" ht="45" x14ac:dyDescent="0.25">
      <c r="A383" s="3"/>
      <c r="B383" s="3">
        <v>390</v>
      </c>
      <c r="C383" s="60" t="s">
        <v>114</v>
      </c>
      <c r="D383" s="3" t="s">
        <v>79</v>
      </c>
      <c r="E383" s="40" t="s">
        <v>1387</v>
      </c>
      <c r="F383" s="4">
        <v>10</v>
      </c>
      <c r="G383" s="5" t="s">
        <v>884</v>
      </c>
      <c r="H383" s="6" t="s">
        <v>81</v>
      </c>
      <c r="I383" s="3" t="s">
        <v>19</v>
      </c>
      <c r="J383" s="8" t="s">
        <v>3</v>
      </c>
      <c r="K383" s="3" t="s">
        <v>1101</v>
      </c>
      <c r="L383" s="3"/>
      <c r="M383" s="3"/>
      <c r="N383" s="3"/>
      <c r="O383" s="3"/>
      <c r="P383" s="3"/>
      <c r="Q383" s="3"/>
      <c r="R383" s="3"/>
      <c r="S383" s="3"/>
    </row>
    <row r="384" spans="1:19" ht="45" x14ac:dyDescent="0.25">
      <c r="A384" s="3"/>
      <c r="B384" s="1">
        <v>391</v>
      </c>
      <c r="C384" s="3" t="s">
        <v>829</v>
      </c>
      <c r="D384" s="3" t="s">
        <v>89</v>
      </c>
      <c r="E384" s="40">
        <v>495.6</v>
      </c>
      <c r="F384" s="4">
        <v>495.6</v>
      </c>
      <c r="G384" s="5" t="s">
        <v>884</v>
      </c>
      <c r="H384" s="6" t="s">
        <v>81</v>
      </c>
      <c r="I384" s="3" t="s">
        <v>19</v>
      </c>
      <c r="J384" s="8" t="s">
        <v>3</v>
      </c>
      <c r="K384" s="3" t="s">
        <v>1102</v>
      </c>
      <c r="L384" s="3"/>
      <c r="M384" s="3"/>
      <c r="N384" s="3"/>
      <c r="O384" s="3"/>
      <c r="P384" s="3"/>
      <c r="Q384" s="3"/>
      <c r="R384" s="3"/>
      <c r="S384" s="3"/>
    </row>
    <row r="385" spans="1:19" ht="45" x14ac:dyDescent="0.25">
      <c r="A385" s="3"/>
      <c r="B385" s="1">
        <v>392</v>
      </c>
      <c r="C385" s="3" t="s">
        <v>830</v>
      </c>
      <c r="D385" s="3" t="s">
        <v>297</v>
      </c>
      <c r="E385" s="40" t="s">
        <v>1812</v>
      </c>
      <c r="F385" s="4">
        <v>7139</v>
      </c>
      <c r="G385" s="5" t="s">
        <v>884</v>
      </c>
      <c r="H385" s="6" t="s">
        <v>81</v>
      </c>
      <c r="I385" s="3" t="s">
        <v>19</v>
      </c>
      <c r="J385" s="8" t="s">
        <v>3</v>
      </c>
      <c r="K385" s="3" t="s">
        <v>1103</v>
      </c>
      <c r="L385" s="3"/>
      <c r="M385" s="3"/>
      <c r="N385" s="3"/>
      <c r="O385" s="3"/>
      <c r="P385" s="3"/>
      <c r="Q385" s="3"/>
      <c r="R385" s="3"/>
      <c r="S385" s="3"/>
    </row>
    <row r="386" spans="1:19" ht="45" x14ac:dyDescent="0.25">
      <c r="A386" s="3"/>
      <c r="B386" s="3">
        <v>393</v>
      </c>
      <c r="C386" s="3" t="s">
        <v>830</v>
      </c>
      <c r="D386" s="3" t="s">
        <v>297</v>
      </c>
      <c r="E386" s="40" t="s">
        <v>1791</v>
      </c>
      <c r="F386" s="4">
        <v>10384</v>
      </c>
      <c r="G386" s="5" t="s">
        <v>884</v>
      </c>
      <c r="H386" s="6" t="s">
        <v>81</v>
      </c>
      <c r="I386" s="3" t="s">
        <v>19</v>
      </c>
      <c r="J386" s="8" t="s">
        <v>3</v>
      </c>
      <c r="K386" s="3" t="s">
        <v>1104</v>
      </c>
      <c r="L386" s="3"/>
      <c r="M386" s="3"/>
      <c r="N386" s="3"/>
      <c r="O386" s="3"/>
      <c r="P386" s="3"/>
      <c r="Q386" s="3"/>
      <c r="R386" s="3"/>
      <c r="S386" s="3"/>
    </row>
    <row r="387" spans="1:19" ht="90" x14ac:dyDescent="0.25">
      <c r="A387" s="3"/>
      <c r="B387" s="3">
        <v>394</v>
      </c>
      <c r="C387" s="3" t="s">
        <v>831</v>
      </c>
      <c r="D387" s="3" t="s">
        <v>832</v>
      </c>
      <c r="E387" s="40" t="s">
        <v>1379</v>
      </c>
      <c r="F387" s="4">
        <v>1419.55</v>
      </c>
      <c r="G387" s="5" t="s">
        <v>884</v>
      </c>
      <c r="H387" s="6" t="s">
        <v>81</v>
      </c>
      <c r="I387" s="3" t="s">
        <v>19</v>
      </c>
      <c r="J387" s="3" t="s">
        <v>566</v>
      </c>
      <c r="K387" s="3" t="s">
        <v>1105</v>
      </c>
      <c r="L387" s="3"/>
      <c r="M387" s="3"/>
      <c r="N387" s="3"/>
      <c r="O387" s="3"/>
      <c r="P387" s="3"/>
      <c r="Q387" s="3"/>
      <c r="R387" s="3"/>
      <c r="S387" s="3"/>
    </row>
    <row r="388" spans="1:19" ht="45" x14ac:dyDescent="0.25">
      <c r="A388" s="3"/>
      <c r="B388" s="1">
        <v>395</v>
      </c>
      <c r="C388" s="3" t="s">
        <v>833</v>
      </c>
      <c r="D388" s="3" t="s">
        <v>834</v>
      </c>
      <c r="E388" s="40">
        <v>553.37</v>
      </c>
      <c r="F388" s="4">
        <v>827.45</v>
      </c>
      <c r="G388" s="5" t="s">
        <v>884</v>
      </c>
      <c r="H388" s="6" t="s">
        <v>81</v>
      </c>
      <c r="I388" s="3" t="s">
        <v>19</v>
      </c>
      <c r="J388" s="3" t="s">
        <v>885</v>
      </c>
      <c r="K388" s="3" t="s">
        <v>1106</v>
      </c>
      <c r="L388" s="3"/>
      <c r="M388" s="3"/>
      <c r="N388" s="3"/>
      <c r="O388" s="3"/>
      <c r="P388" s="3"/>
      <c r="Q388" s="3"/>
      <c r="R388" s="3"/>
      <c r="S388" s="3"/>
    </row>
    <row r="389" spans="1:19" ht="45" x14ac:dyDescent="0.25">
      <c r="A389" s="3"/>
      <c r="B389" s="1">
        <v>396</v>
      </c>
      <c r="C389" s="3" t="s">
        <v>833</v>
      </c>
      <c r="D389" s="62" t="s">
        <v>4</v>
      </c>
      <c r="E389" s="40">
        <v>827.45</v>
      </c>
      <c r="F389" s="4">
        <v>553.37</v>
      </c>
      <c r="G389" s="5" t="s">
        <v>884</v>
      </c>
      <c r="H389" s="6" t="s">
        <v>81</v>
      </c>
      <c r="I389" s="3" t="s">
        <v>19</v>
      </c>
      <c r="J389" s="3" t="s">
        <v>885</v>
      </c>
      <c r="K389" s="3" t="s">
        <v>1107</v>
      </c>
      <c r="L389" s="3"/>
      <c r="M389" s="3"/>
      <c r="N389" s="3"/>
      <c r="O389" s="3"/>
      <c r="P389" s="3"/>
      <c r="Q389" s="3"/>
      <c r="R389" s="3"/>
      <c r="S389" s="3"/>
    </row>
    <row r="390" spans="1:19" ht="45" x14ac:dyDescent="0.25">
      <c r="A390" s="3"/>
      <c r="B390" s="3">
        <v>397</v>
      </c>
      <c r="C390" s="3" t="s">
        <v>924</v>
      </c>
      <c r="D390" s="62" t="s">
        <v>4</v>
      </c>
      <c r="E390" s="40" t="s">
        <v>1118</v>
      </c>
      <c r="F390" s="4">
        <v>120</v>
      </c>
      <c r="G390" s="5" t="s">
        <v>884</v>
      </c>
      <c r="H390" s="6" t="s">
        <v>81</v>
      </c>
      <c r="I390" s="3" t="s">
        <v>19</v>
      </c>
      <c r="J390" s="8" t="s">
        <v>3</v>
      </c>
      <c r="K390" s="3" t="s">
        <v>994</v>
      </c>
      <c r="L390" s="3"/>
      <c r="M390" s="3"/>
      <c r="N390" s="3"/>
      <c r="O390" s="3"/>
      <c r="P390" s="3"/>
      <c r="Q390" s="3"/>
      <c r="R390" s="3"/>
      <c r="S390" s="3"/>
    </row>
    <row r="391" spans="1:19" ht="45" x14ac:dyDescent="0.25">
      <c r="A391" s="3"/>
      <c r="B391" s="3">
        <v>398</v>
      </c>
      <c r="C391" s="3" t="s">
        <v>925</v>
      </c>
      <c r="D391" s="3" t="s">
        <v>104</v>
      </c>
      <c r="E391" s="40" t="s">
        <v>1346</v>
      </c>
      <c r="F391" s="4">
        <v>3765</v>
      </c>
      <c r="G391" s="5" t="s">
        <v>995</v>
      </c>
      <c r="H391" s="6" t="s">
        <v>81</v>
      </c>
      <c r="I391" s="3" t="s">
        <v>19</v>
      </c>
      <c r="J391" s="8" t="s">
        <v>3</v>
      </c>
      <c r="K391" s="3" t="s">
        <v>996</v>
      </c>
      <c r="L391" s="3"/>
      <c r="M391" s="3"/>
      <c r="N391" s="3"/>
      <c r="O391" s="3"/>
      <c r="P391" s="3"/>
      <c r="Q391" s="3"/>
      <c r="R391" s="3"/>
      <c r="S391" s="3"/>
    </row>
    <row r="392" spans="1:19" ht="45" x14ac:dyDescent="0.25">
      <c r="A392" s="3"/>
      <c r="B392" s="1">
        <v>399</v>
      </c>
      <c r="C392" s="3" t="s">
        <v>926</v>
      </c>
      <c r="D392" s="3" t="s">
        <v>89</v>
      </c>
      <c r="E392" s="40">
        <v>172.15</v>
      </c>
      <c r="F392" s="4">
        <v>180</v>
      </c>
      <c r="G392" s="5" t="s">
        <v>997</v>
      </c>
      <c r="H392" s="6" t="s">
        <v>81</v>
      </c>
      <c r="I392" s="3" t="s">
        <v>19</v>
      </c>
      <c r="J392" s="8" t="s">
        <v>3</v>
      </c>
      <c r="K392" s="3" t="s">
        <v>998</v>
      </c>
      <c r="L392" s="3"/>
      <c r="M392" s="3"/>
      <c r="N392" s="3"/>
      <c r="O392" s="3"/>
      <c r="P392" s="3"/>
      <c r="Q392" s="3"/>
      <c r="R392" s="3"/>
      <c r="S392" s="3"/>
    </row>
    <row r="393" spans="1:19" ht="45" x14ac:dyDescent="0.25">
      <c r="A393" s="3"/>
      <c r="B393" s="1">
        <v>400</v>
      </c>
      <c r="C393" s="3" t="s">
        <v>927</v>
      </c>
      <c r="D393" s="3" t="s">
        <v>89</v>
      </c>
      <c r="E393" s="40" t="s">
        <v>1421</v>
      </c>
      <c r="F393" s="4">
        <v>180</v>
      </c>
      <c r="G393" s="5" t="s">
        <v>997</v>
      </c>
      <c r="H393" s="6" t="s">
        <v>81</v>
      </c>
      <c r="I393" s="3" t="s">
        <v>19</v>
      </c>
      <c r="J393" s="8" t="s">
        <v>3</v>
      </c>
      <c r="K393" s="3" t="s">
        <v>999</v>
      </c>
      <c r="L393" s="3"/>
      <c r="M393" s="3"/>
      <c r="N393" s="3"/>
      <c r="O393" s="3"/>
      <c r="P393" s="3"/>
      <c r="Q393" s="3"/>
      <c r="R393" s="3"/>
      <c r="S393" s="3"/>
    </row>
    <row r="394" spans="1:19" ht="45" x14ac:dyDescent="0.25">
      <c r="A394" s="3"/>
      <c r="B394" s="3">
        <v>401</v>
      </c>
      <c r="C394" s="3" t="s">
        <v>928</v>
      </c>
      <c r="D394" s="3" t="s">
        <v>83</v>
      </c>
      <c r="E394" s="40" t="s">
        <v>1114</v>
      </c>
      <c r="F394" s="4">
        <v>1296.25</v>
      </c>
      <c r="G394" s="5" t="s">
        <v>997</v>
      </c>
      <c r="H394" s="6" t="s">
        <v>81</v>
      </c>
      <c r="I394" s="3" t="s">
        <v>19</v>
      </c>
      <c r="J394" s="8" t="s">
        <v>3</v>
      </c>
      <c r="K394" s="3" t="s">
        <v>1000</v>
      </c>
      <c r="L394" s="3"/>
      <c r="M394" s="3"/>
      <c r="N394" s="3"/>
      <c r="O394" s="3"/>
      <c r="P394" s="3"/>
      <c r="Q394" s="3"/>
      <c r="R394" s="3"/>
      <c r="S394" s="3"/>
    </row>
    <row r="395" spans="1:19" ht="45" x14ac:dyDescent="0.25">
      <c r="A395" s="3"/>
      <c r="B395" s="3">
        <v>402</v>
      </c>
      <c r="C395" s="57" t="s">
        <v>929</v>
      </c>
      <c r="D395" s="3" t="s">
        <v>543</v>
      </c>
      <c r="E395" s="40" t="s">
        <v>521</v>
      </c>
      <c r="F395" s="4">
        <v>1400</v>
      </c>
      <c r="G395" s="5" t="s">
        <v>997</v>
      </c>
      <c r="H395" s="6" t="s">
        <v>81</v>
      </c>
      <c r="I395" s="3" t="s">
        <v>19</v>
      </c>
      <c r="J395" s="8" t="s">
        <v>3</v>
      </c>
      <c r="K395" s="3" t="s">
        <v>1001</v>
      </c>
      <c r="L395" s="3"/>
      <c r="M395" s="3"/>
      <c r="N395" s="3"/>
      <c r="O395" s="3"/>
      <c r="P395" s="3"/>
      <c r="Q395" s="3"/>
      <c r="R395" s="3"/>
      <c r="S395" s="3"/>
    </row>
    <row r="396" spans="1:19" ht="45" x14ac:dyDescent="0.25">
      <c r="A396" s="3"/>
      <c r="B396" s="1">
        <v>403</v>
      </c>
      <c r="C396" s="3" t="s">
        <v>930</v>
      </c>
      <c r="D396" s="3" t="s">
        <v>85</v>
      </c>
      <c r="E396" s="40" t="s">
        <v>1117</v>
      </c>
      <c r="F396" s="4">
        <v>1980</v>
      </c>
      <c r="G396" s="5" t="s">
        <v>997</v>
      </c>
      <c r="H396" s="6" t="s">
        <v>81</v>
      </c>
      <c r="I396" s="3" t="s">
        <v>19</v>
      </c>
      <c r="J396" s="8" t="s">
        <v>3</v>
      </c>
      <c r="K396" s="3" t="s">
        <v>1002</v>
      </c>
      <c r="L396" s="3"/>
      <c r="M396" s="3"/>
      <c r="N396" s="3"/>
      <c r="O396" s="3"/>
      <c r="P396" s="3"/>
      <c r="Q396" s="3"/>
      <c r="R396" s="3"/>
      <c r="S396" s="3"/>
    </row>
    <row r="397" spans="1:19" ht="45" x14ac:dyDescent="0.25">
      <c r="A397" s="3"/>
      <c r="B397" s="1">
        <v>404</v>
      </c>
      <c r="C397" s="12" t="s">
        <v>931</v>
      </c>
      <c r="D397" s="3" t="s">
        <v>83</v>
      </c>
      <c r="E397" s="40" t="s">
        <v>1116</v>
      </c>
      <c r="F397" s="4">
        <v>1187.5</v>
      </c>
      <c r="G397" s="5" t="s">
        <v>997</v>
      </c>
      <c r="H397" s="6" t="s">
        <v>81</v>
      </c>
      <c r="I397" s="3" t="s">
        <v>19</v>
      </c>
      <c r="J397" s="8" t="s">
        <v>3</v>
      </c>
      <c r="K397" s="3" t="s">
        <v>1003</v>
      </c>
      <c r="L397" s="3"/>
      <c r="M397" s="3"/>
      <c r="N397" s="3"/>
      <c r="O397" s="3"/>
      <c r="P397" s="3"/>
      <c r="Q397" s="3"/>
      <c r="R397" s="3"/>
      <c r="S397" s="3"/>
    </row>
    <row r="398" spans="1:19" ht="45" x14ac:dyDescent="0.25">
      <c r="A398" s="3"/>
      <c r="B398" s="3">
        <v>405</v>
      </c>
      <c r="C398" s="3" t="s">
        <v>932</v>
      </c>
      <c r="D398" s="3" t="s">
        <v>89</v>
      </c>
      <c r="E398" s="40">
        <v>32.5</v>
      </c>
      <c r="F398" s="4">
        <v>60</v>
      </c>
      <c r="G398" s="5" t="s">
        <v>997</v>
      </c>
      <c r="H398" s="6" t="s">
        <v>81</v>
      </c>
      <c r="I398" s="3" t="s">
        <v>19</v>
      </c>
      <c r="J398" s="8" t="s">
        <v>3</v>
      </c>
      <c r="K398" s="3" t="s">
        <v>1004</v>
      </c>
      <c r="L398" s="3"/>
      <c r="M398" s="3"/>
      <c r="N398" s="3"/>
      <c r="O398" s="3"/>
      <c r="P398" s="3"/>
      <c r="Q398" s="3"/>
      <c r="R398" s="3"/>
      <c r="S398" s="3"/>
    </row>
    <row r="399" spans="1:19" ht="45" x14ac:dyDescent="0.25">
      <c r="A399" s="3"/>
      <c r="B399" s="3">
        <v>406</v>
      </c>
      <c r="C399" s="3" t="s">
        <v>933</v>
      </c>
      <c r="D399" s="3" t="s">
        <v>89</v>
      </c>
      <c r="E399" s="40">
        <v>51.75</v>
      </c>
      <c r="F399" s="4">
        <v>60</v>
      </c>
      <c r="G399" s="5" t="s">
        <v>997</v>
      </c>
      <c r="H399" s="6" t="s">
        <v>81</v>
      </c>
      <c r="I399" s="3" t="s">
        <v>19</v>
      </c>
      <c r="J399" s="8" t="s">
        <v>3</v>
      </c>
      <c r="K399" s="3" t="s">
        <v>1005</v>
      </c>
      <c r="L399" s="3"/>
      <c r="M399" s="3"/>
      <c r="N399" s="3"/>
      <c r="O399" s="3"/>
      <c r="P399" s="3"/>
      <c r="Q399" s="3"/>
      <c r="R399" s="3"/>
      <c r="S399" s="3"/>
    </row>
    <row r="400" spans="1:19" ht="45" x14ac:dyDescent="0.25">
      <c r="A400" s="3"/>
      <c r="B400" s="1">
        <v>407</v>
      </c>
      <c r="C400" s="3" t="s">
        <v>648</v>
      </c>
      <c r="D400" s="3" t="s">
        <v>83</v>
      </c>
      <c r="E400" s="40" t="s">
        <v>1324</v>
      </c>
      <c r="F400" s="4">
        <v>2190</v>
      </c>
      <c r="G400" s="5" t="s">
        <v>997</v>
      </c>
      <c r="H400" s="6" t="s">
        <v>81</v>
      </c>
      <c r="I400" s="3" t="s">
        <v>19</v>
      </c>
      <c r="J400" s="8" t="s">
        <v>3</v>
      </c>
      <c r="K400" s="3" t="s">
        <v>1006</v>
      </c>
      <c r="L400" s="3"/>
      <c r="M400" s="3"/>
      <c r="N400" s="3"/>
      <c r="O400" s="3"/>
      <c r="P400" s="3"/>
      <c r="Q400" s="3"/>
      <c r="R400" s="3"/>
      <c r="S400" s="3"/>
    </row>
    <row r="401" spans="1:19" ht="45" x14ac:dyDescent="0.25">
      <c r="A401" s="3"/>
      <c r="B401" s="1">
        <v>408</v>
      </c>
      <c r="C401" s="3" t="s">
        <v>926</v>
      </c>
      <c r="D401" s="3" t="s">
        <v>85</v>
      </c>
      <c r="E401" s="40">
        <v>555</v>
      </c>
      <c r="F401" s="4">
        <v>555</v>
      </c>
      <c r="G401" s="5" t="s">
        <v>997</v>
      </c>
      <c r="H401" s="6" t="s">
        <v>81</v>
      </c>
      <c r="I401" s="3" t="s">
        <v>19</v>
      </c>
      <c r="J401" s="8" t="s">
        <v>3</v>
      </c>
      <c r="K401" s="3" t="s">
        <v>1007</v>
      </c>
      <c r="L401" s="3"/>
      <c r="M401" s="3"/>
      <c r="N401" s="3"/>
      <c r="O401" s="3"/>
      <c r="P401" s="3"/>
      <c r="Q401" s="3"/>
      <c r="R401" s="3"/>
      <c r="S401" s="3"/>
    </row>
    <row r="402" spans="1:19" ht="45" x14ac:dyDescent="0.25">
      <c r="A402" s="3"/>
      <c r="B402" s="3">
        <v>409</v>
      </c>
      <c r="C402" s="12" t="s">
        <v>934</v>
      </c>
      <c r="D402" s="3" t="s">
        <v>83</v>
      </c>
      <c r="E402" s="40" t="s">
        <v>580</v>
      </c>
      <c r="F402" s="4">
        <v>150</v>
      </c>
      <c r="G402" s="5" t="s">
        <v>997</v>
      </c>
      <c r="H402" s="6" t="s">
        <v>81</v>
      </c>
      <c r="I402" s="3" t="s">
        <v>19</v>
      </c>
      <c r="J402" s="8" t="s">
        <v>3</v>
      </c>
      <c r="K402" s="3" t="s">
        <v>1008</v>
      </c>
      <c r="L402" s="3"/>
      <c r="M402" s="3"/>
      <c r="N402" s="3"/>
      <c r="O402" s="3"/>
      <c r="P402" s="3"/>
      <c r="Q402" s="3"/>
      <c r="R402" s="3"/>
      <c r="S402" s="3"/>
    </row>
    <row r="403" spans="1:19" ht="45" x14ac:dyDescent="0.25">
      <c r="A403" s="3"/>
      <c r="B403" s="3">
        <v>410</v>
      </c>
      <c r="C403" s="3" t="s">
        <v>935</v>
      </c>
      <c r="D403" s="3" t="s">
        <v>85</v>
      </c>
      <c r="E403" s="40" t="s">
        <v>1380</v>
      </c>
      <c r="F403" s="4">
        <v>315</v>
      </c>
      <c r="G403" s="5" t="s">
        <v>997</v>
      </c>
      <c r="H403" s="6" t="s">
        <v>81</v>
      </c>
      <c r="I403" s="3" t="s">
        <v>19</v>
      </c>
      <c r="J403" s="8" t="s">
        <v>3</v>
      </c>
      <c r="K403" s="3" t="s">
        <v>1009</v>
      </c>
      <c r="L403" s="3"/>
      <c r="M403" s="3"/>
      <c r="N403" s="3"/>
      <c r="O403" s="3"/>
      <c r="P403" s="3"/>
      <c r="Q403" s="3"/>
      <c r="R403" s="3"/>
      <c r="S403" s="3"/>
    </row>
    <row r="404" spans="1:19" ht="45" x14ac:dyDescent="0.25">
      <c r="A404" s="3"/>
      <c r="B404" s="1">
        <v>411</v>
      </c>
      <c r="C404" s="12" t="s">
        <v>936</v>
      </c>
      <c r="D404" s="3" t="s">
        <v>543</v>
      </c>
      <c r="E404" s="40">
        <v>380</v>
      </c>
      <c r="F404" s="4">
        <v>380</v>
      </c>
      <c r="G404" s="5" t="s">
        <v>997</v>
      </c>
      <c r="H404" s="6" t="s">
        <v>81</v>
      </c>
      <c r="I404" s="3" t="s">
        <v>19</v>
      </c>
      <c r="J404" s="8" t="s">
        <v>3</v>
      </c>
      <c r="K404" s="3" t="s">
        <v>1010</v>
      </c>
      <c r="L404" s="3"/>
      <c r="M404" s="3"/>
      <c r="N404" s="3"/>
      <c r="O404" s="3"/>
      <c r="P404" s="3"/>
      <c r="Q404" s="3"/>
      <c r="R404" s="3"/>
      <c r="S404" s="3"/>
    </row>
    <row r="405" spans="1:19" ht="45" x14ac:dyDescent="0.25">
      <c r="A405" s="3"/>
      <c r="B405" s="1">
        <v>412</v>
      </c>
      <c r="C405" s="3" t="s">
        <v>937</v>
      </c>
      <c r="D405" s="3" t="s">
        <v>104</v>
      </c>
      <c r="E405" s="40" t="s">
        <v>1115</v>
      </c>
      <c r="F405" s="4">
        <v>2602</v>
      </c>
      <c r="G405" s="5" t="s">
        <v>997</v>
      </c>
      <c r="H405" s="6" t="s">
        <v>81</v>
      </c>
      <c r="I405" s="3" t="s">
        <v>19</v>
      </c>
      <c r="J405" s="8" t="s">
        <v>3</v>
      </c>
      <c r="K405" s="3" t="s">
        <v>1011</v>
      </c>
      <c r="L405" s="3"/>
      <c r="M405" s="3"/>
      <c r="N405" s="3"/>
      <c r="O405" s="3"/>
      <c r="P405" s="3"/>
      <c r="Q405" s="3"/>
      <c r="R405" s="3"/>
      <c r="S405" s="3"/>
    </row>
    <row r="406" spans="1:19" ht="45" x14ac:dyDescent="0.25">
      <c r="A406" s="3"/>
      <c r="B406" s="3">
        <v>413</v>
      </c>
      <c r="C406" s="3" t="s">
        <v>938</v>
      </c>
      <c r="D406" s="3" t="s">
        <v>104</v>
      </c>
      <c r="E406" s="40" t="s">
        <v>1335</v>
      </c>
      <c r="F406" s="4">
        <v>1325.3</v>
      </c>
      <c r="G406" s="5" t="s">
        <v>997</v>
      </c>
      <c r="H406" s="6" t="s">
        <v>81</v>
      </c>
      <c r="I406" s="3" t="s">
        <v>19</v>
      </c>
      <c r="J406" s="8" t="s">
        <v>3</v>
      </c>
      <c r="K406" s="3" t="s">
        <v>1012</v>
      </c>
      <c r="L406" s="3"/>
      <c r="M406" s="3"/>
      <c r="N406" s="3"/>
      <c r="O406" s="3"/>
      <c r="P406" s="3"/>
      <c r="Q406" s="3"/>
      <c r="R406" s="3"/>
      <c r="S406" s="3"/>
    </row>
    <row r="407" spans="1:19" ht="45" x14ac:dyDescent="0.25">
      <c r="A407" s="3"/>
      <c r="B407" s="3">
        <v>414</v>
      </c>
      <c r="C407" s="3" t="s">
        <v>828</v>
      </c>
      <c r="D407" s="3" t="s">
        <v>543</v>
      </c>
      <c r="E407" s="40" t="s">
        <v>1367</v>
      </c>
      <c r="F407" s="4">
        <v>2970</v>
      </c>
      <c r="G407" s="5" t="s">
        <v>997</v>
      </c>
      <c r="H407" s="6" t="s">
        <v>81</v>
      </c>
      <c r="I407" s="3" t="s">
        <v>19</v>
      </c>
      <c r="J407" s="8" t="s">
        <v>3</v>
      </c>
      <c r="K407" s="3" t="s">
        <v>1013</v>
      </c>
      <c r="L407" s="3"/>
      <c r="M407" s="3"/>
      <c r="N407" s="3"/>
      <c r="O407" s="3"/>
      <c r="P407" s="3"/>
      <c r="Q407" s="3"/>
      <c r="R407" s="3"/>
      <c r="S407" s="3"/>
    </row>
    <row r="408" spans="1:19" ht="45" x14ac:dyDescent="0.25">
      <c r="A408" s="3"/>
      <c r="B408" s="1">
        <v>415</v>
      </c>
      <c r="C408" s="1" t="s">
        <v>133</v>
      </c>
      <c r="D408" s="1" t="s">
        <v>89</v>
      </c>
      <c r="E408" s="40">
        <v>299.98</v>
      </c>
      <c r="F408" s="4">
        <v>300</v>
      </c>
      <c r="G408" s="5" t="s">
        <v>997</v>
      </c>
      <c r="H408" s="6" t="s">
        <v>81</v>
      </c>
      <c r="I408" s="3" t="s">
        <v>19</v>
      </c>
      <c r="J408" s="8" t="s">
        <v>3</v>
      </c>
      <c r="K408" s="3" t="s">
        <v>1014</v>
      </c>
      <c r="L408" s="3"/>
      <c r="M408" s="3"/>
      <c r="N408" s="3"/>
      <c r="O408" s="3"/>
      <c r="P408" s="3"/>
      <c r="Q408" s="3"/>
      <c r="R408" s="3"/>
      <c r="S408" s="3"/>
    </row>
    <row r="409" spans="1:19" ht="45" x14ac:dyDescent="0.25">
      <c r="A409" s="3"/>
      <c r="B409" s="1">
        <v>416</v>
      </c>
      <c r="C409" s="3" t="s">
        <v>169</v>
      </c>
      <c r="D409" s="12" t="s">
        <v>543</v>
      </c>
      <c r="E409" s="40" t="s">
        <v>1119</v>
      </c>
      <c r="F409" s="4">
        <v>3150</v>
      </c>
      <c r="G409" s="5" t="s">
        <v>997</v>
      </c>
      <c r="H409" s="6" t="s">
        <v>81</v>
      </c>
      <c r="I409" s="3" t="s">
        <v>19</v>
      </c>
      <c r="J409" s="8" t="s">
        <v>3</v>
      </c>
      <c r="K409" s="3" t="s">
        <v>1015</v>
      </c>
      <c r="L409" s="3"/>
      <c r="M409" s="3"/>
      <c r="N409" s="3"/>
      <c r="O409" s="3"/>
      <c r="P409" s="3"/>
      <c r="Q409" s="3"/>
      <c r="R409" s="3"/>
      <c r="S409" s="3"/>
    </row>
    <row r="410" spans="1:19" ht="45" x14ac:dyDescent="0.25">
      <c r="A410" s="3"/>
      <c r="B410" s="3">
        <v>417</v>
      </c>
      <c r="C410" s="3" t="s">
        <v>823</v>
      </c>
      <c r="D410" s="12" t="s">
        <v>543</v>
      </c>
      <c r="E410" s="40" t="s">
        <v>1325</v>
      </c>
      <c r="F410" s="4">
        <v>1420</v>
      </c>
      <c r="G410" s="5" t="s">
        <v>660</v>
      </c>
      <c r="H410" s="6" t="s">
        <v>81</v>
      </c>
      <c r="I410" s="3" t="s">
        <v>19</v>
      </c>
      <c r="J410" s="8" t="s">
        <v>3</v>
      </c>
      <c r="K410" s="3" t="s">
        <v>1016</v>
      </c>
      <c r="L410" s="3"/>
      <c r="M410" s="3"/>
      <c r="N410" s="3"/>
      <c r="O410" s="3"/>
      <c r="P410" s="3"/>
      <c r="Q410" s="3"/>
      <c r="R410" s="3"/>
      <c r="S410" s="3"/>
    </row>
    <row r="411" spans="1:19" ht="45" x14ac:dyDescent="0.25">
      <c r="A411" s="3"/>
      <c r="B411" s="3">
        <v>418</v>
      </c>
      <c r="C411" s="3" t="s">
        <v>939</v>
      </c>
      <c r="D411" s="12" t="s">
        <v>89</v>
      </c>
      <c r="E411" s="40">
        <v>49.5</v>
      </c>
      <c r="F411" s="4">
        <v>50</v>
      </c>
      <c r="G411" s="5" t="s">
        <v>660</v>
      </c>
      <c r="H411" s="6" t="s">
        <v>81</v>
      </c>
      <c r="I411" s="3" t="s">
        <v>19</v>
      </c>
      <c r="J411" s="8" t="s">
        <v>3</v>
      </c>
      <c r="K411" s="3" t="s">
        <v>1017</v>
      </c>
      <c r="L411" s="3"/>
      <c r="M411" s="3"/>
      <c r="N411" s="3"/>
      <c r="O411" s="3"/>
      <c r="P411" s="3"/>
      <c r="Q411" s="3"/>
      <c r="R411" s="3"/>
      <c r="S411" s="3"/>
    </row>
    <row r="412" spans="1:19" ht="45" x14ac:dyDescent="0.25">
      <c r="A412" s="3"/>
      <c r="B412" s="1">
        <v>419</v>
      </c>
      <c r="C412" s="3" t="s">
        <v>940</v>
      </c>
      <c r="D412" s="12" t="s">
        <v>89</v>
      </c>
      <c r="E412" s="40" t="s">
        <v>1328</v>
      </c>
      <c r="F412" s="4">
        <v>60</v>
      </c>
      <c r="G412" s="5" t="s">
        <v>660</v>
      </c>
      <c r="H412" s="6" t="s">
        <v>81</v>
      </c>
      <c r="I412" s="3" t="s">
        <v>19</v>
      </c>
      <c r="J412" s="8" t="s">
        <v>3</v>
      </c>
      <c r="K412" s="3" t="s">
        <v>1018</v>
      </c>
      <c r="L412" s="3"/>
      <c r="M412" s="3"/>
      <c r="N412" s="3"/>
      <c r="O412" s="3"/>
      <c r="P412" s="3"/>
      <c r="Q412" s="3"/>
      <c r="R412" s="3"/>
      <c r="S412" s="3"/>
    </row>
    <row r="413" spans="1:19" ht="45" x14ac:dyDescent="0.25">
      <c r="A413" s="3"/>
      <c r="B413" s="1">
        <v>420</v>
      </c>
      <c r="C413" s="3" t="s">
        <v>941</v>
      </c>
      <c r="D413" s="12" t="s">
        <v>85</v>
      </c>
      <c r="E413" s="40" t="s">
        <v>1348</v>
      </c>
      <c r="F413" s="4">
        <v>370</v>
      </c>
      <c r="G413" s="5" t="s">
        <v>660</v>
      </c>
      <c r="H413" s="6" t="s">
        <v>81</v>
      </c>
      <c r="I413" s="3" t="s">
        <v>19</v>
      </c>
      <c r="J413" s="8" t="s">
        <v>3</v>
      </c>
      <c r="K413" s="3" t="s">
        <v>1019</v>
      </c>
      <c r="L413" s="3"/>
      <c r="M413" s="3"/>
      <c r="N413" s="3"/>
      <c r="O413" s="3"/>
      <c r="P413" s="3"/>
      <c r="Q413" s="3"/>
      <c r="R413" s="3"/>
      <c r="S413" s="3"/>
    </row>
    <row r="414" spans="1:19" ht="45" x14ac:dyDescent="0.25">
      <c r="A414" s="3"/>
      <c r="B414" s="3">
        <v>421</v>
      </c>
      <c r="C414" s="3" t="s">
        <v>942</v>
      </c>
      <c r="D414" s="12" t="s">
        <v>83</v>
      </c>
      <c r="E414" s="40" t="s">
        <v>1329</v>
      </c>
      <c r="F414" s="4">
        <v>1850</v>
      </c>
      <c r="G414" s="5" t="s">
        <v>660</v>
      </c>
      <c r="H414" s="6" t="s">
        <v>81</v>
      </c>
      <c r="I414" s="3" t="s">
        <v>19</v>
      </c>
      <c r="J414" s="8" t="s">
        <v>3</v>
      </c>
      <c r="K414" s="3" t="s">
        <v>1020</v>
      </c>
      <c r="L414" s="3"/>
      <c r="M414" s="3"/>
      <c r="N414" s="3"/>
      <c r="O414" s="3"/>
      <c r="P414" s="3"/>
      <c r="Q414" s="3"/>
      <c r="R414" s="3"/>
      <c r="S414" s="3"/>
    </row>
    <row r="415" spans="1:19" ht="45" x14ac:dyDescent="0.25">
      <c r="A415" s="3"/>
      <c r="B415" s="3">
        <v>422</v>
      </c>
      <c r="C415" s="3" t="s">
        <v>943</v>
      </c>
      <c r="D415" s="12" t="s">
        <v>89</v>
      </c>
      <c r="E415" s="40">
        <f>271.26+47.8+68.64+131.89+44</f>
        <v>563.58999999999992</v>
      </c>
      <c r="F415" s="4">
        <v>5000</v>
      </c>
      <c r="G415" s="5" t="s">
        <v>660</v>
      </c>
      <c r="H415" s="6" t="s">
        <v>26</v>
      </c>
      <c r="I415" s="3" t="s">
        <v>19</v>
      </c>
      <c r="J415" s="8" t="s">
        <v>3</v>
      </c>
      <c r="K415" s="3" t="s">
        <v>1021</v>
      </c>
      <c r="L415" s="3"/>
      <c r="M415" s="3"/>
      <c r="N415" s="3"/>
      <c r="O415" s="3"/>
      <c r="P415" s="3"/>
      <c r="Q415" s="3"/>
      <c r="R415" s="3"/>
      <c r="S415" s="3"/>
    </row>
    <row r="416" spans="1:19" ht="45" x14ac:dyDescent="0.25">
      <c r="A416" s="3"/>
      <c r="B416" s="1">
        <v>423</v>
      </c>
      <c r="C416" s="3" t="s">
        <v>944</v>
      </c>
      <c r="D416" s="12" t="s">
        <v>89</v>
      </c>
      <c r="E416" s="40">
        <f>100+60+201</f>
        <v>361</v>
      </c>
      <c r="F416" s="4">
        <v>7000</v>
      </c>
      <c r="G416" s="5" t="s">
        <v>660</v>
      </c>
      <c r="H416" s="6" t="s">
        <v>26</v>
      </c>
      <c r="I416" s="3" t="s">
        <v>19</v>
      </c>
      <c r="J416" s="8" t="s">
        <v>3</v>
      </c>
      <c r="K416" s="3" t="s">
        <v>1022</v>
      </c>
      <c r="L416" s="3"/>
      <c r="M416" s="3"/>
      <c r="N416" s="3"/>
      <c r="O416" s="3"/>
      <c r="P416" s="3"/>
      <c r="Q416" s="3"/>
      <c r="R416" s="3"/>
      <c r="S416" s="3"/>
    </row>
    <row r="417" spans="1:19" ht="45" x14ac:dyDescent="0.25">
      <c r="A417" s="3"/>
      <c r="B417" s="1">
        <v>424</v>
      </c>
      <c r="C417" s="3" t="s">
        <v>945</v>
      </c>
      <c r="D417" s="3" t="s">
        <v>89</v>
      </c>
      <c r="E417" s="40">
        <f>2011+425+170.26+118.12+329.65</f>
        <v>3054.03</v>
      </c>
      <c r="F417" s="4">
        <v>5000</v>
      </c>
      <c r="G417" s="5" t="s">
        <v>660</v>
      </c>
      <c r="H417" s="6" t="s">
        <v>26</v>
      </c>
      <c r="I417" s="3" t="s">
        <v>19</v>
      </c>
      <c r="J417" s="8" t="s">
        <v>3</v>
      </c>
      <c r="K417" s="3" t="s">
        <v>1023</v>
      </c>
      <c r="L417" s="3"/>
      <c r="M417" s="3"/>
      <c r="N417" s="3"/>
      <c r="O417" s="3"/>
      <c r="P417" s="3"/>
      <c r="Q417" s="3"/>
      <c r="R417" s="3"/>
      <c r="S417" s="3"/>
    </row>
    <row r="418" spans="1:19" ht="45" x14ac:dyDescent="0.25">
      <c r="A418" s="3"/>
      <c r="B418" s="3">
        <v>425</v>
      </c>
      <c r="C418" s="3" t="s">
        <v>2049</v>
      </c>
      <c r="D418" s="3" t="s">
        <v>89</v>
      </c>
      <c r="E418" s="40">
        <f>390+490+500+78+50+166</f>
        <v>1674</v>
      </c>
      <c r="F418" s="4">
        <v>5000</v>
      </c>
      <c r="G418" s="5" t="s">
        <v>660</v>
      </c>
      <c r="H418" s="6" t="s">
        <v>26</v>
      </c>
      <c r="I418" s="3" t="s">
        <v>19</v>
      </c>
      <c r="J418" s="8" t="s">
        <v>3</v>
      </c>
      <c r="K418" s="3" t="s">
        <v>1024</v>
      </c>
      <c r="L418" s="3"/>
      <c r="M418" s="3"/>
      <c r="N418" s="3"/>
      <c r="O418" s="3"/>
      <c r="P418" s="3"/>
      <c r="Q418" s="3"/>
      <c r="R418" s="3"/>
      <c r="S418" s="3"/>
    </row>
    <row r="419" spans="1:19" ht="45" x14ac:dyDescent="0.25">
      <c r="A419" s="3"/>
      <c r="B419" s="3">
        <v>426</v>
      </c>
      <c r="C419" s="3" t="s">
        <v>946</v>
      </c>
      <c r="D419" s="3" t="s">
        <v>89</v>
      </c>
      <c r="E419" s="40">
        <f>756.75+417.28+434.51+246.6+96.03+53.95+83.65+236.41</f>
        <v>2325.1799999999998</v>
      </c>
      <c r="F419" s="4">
        <v>7000</v>
      </c>
      <c r="G419" s="5" t="s">
        <v>660</v>
      </c>
      <c r="H419" s="6" t="s">
        <v>26</v>
      </c>
      <c r="I419" s="3" t="s">
        <v>19</v>
      </c>
      <c r="J419" s="8" t="s">
        <v>3</v>
      </c>
      <c r="K419" s="3" t="s">
        <v>1025</v>
      </c>
      <c r="L419" s="3"/>
      <c r="M419" s="3"/>
      <c r="N419" s="3"/>
      <c r="O419" s="3"/>
      <c r="P419" s="3"/>
      <c r="Q419" s="3"/>
      <c r="R419" s="3"/>
      <c r="S419" s="3"/>
    </row>
    <row r="420" spans="1:19" ht="45" x14ac:dyDescent="0.25">
      <c r="A420" s="3"/>
      <c r="B420" s="1">
        <v>427</v>
      </c>
      <c r="C420" s="3" t="s">
        <v>947</v>
      </c>
      <c r="D420" s="3" t="s">
        <v>89</v>
      </c>
      <c r="E420" s="41">
        <f>621+180.09+533.02+486.97+245.81+378+198.58+109.87+196.06+467.71+277.2+296.35+317.02+147.67+648.14+243.94+179.93+719.51+235.37+325.58</f>
        <v>6807.8200000000006</v>
      </c>
      <c r="F420" s="4">
        <v>7000</v>
      </c>
      <c r="G420" s="5" t="s">
        <v>660</v>
      </c>
      <c r="H420" s="6" t="s">
        <v>26</v>
      </c>
      <c r="I420" s="3" t="s">
        <v>19</v>
      </c>
      <c r="J420" s="8" t="s">
        <v>3</v>
      </c>
      <c r="K420" s="3" t="s">
        <v>1026</v>
      </c>
      <c r="L420" s="3"/>
      <c r="M420" s="3"/>
      <c r="N420" s="3"/>
      <c r="O420" s="3"/>
      <c r="P420" s="3"/>
      <c r="Q420" s="3"/>
      <c r="R420" s="3"/>
      <c r="S420" s="3"/>
    </row>
    <row r="421" spans="1:19" ht="45" x14ac:dyDescent="0.25">
      <c r="A421" s="3"/>
      <c r="B421" s="1">
        <v>428</v>
      </c>
      <c r="C421" s="3" t="s">
        <v>948</v>
      </c>
      <c r="D421" s="3" t="s">
        <v>89</v>
      </c>
      <c r="E421" s="40">
        <f>607.38+499.66+112.95+484.8+348.57+161.38+331.08</f>
        <v>2545.8200000000002</v>
      </c>
      <c r="F421" s="4">
        <v>5000</v>
      </c>
      <c r="G421" s="5" t="s">
        <v>660</v>
      </c>
      <c r="H421" s="6" t="s">
        <v>26</v>
      </c>
      <c r="I421" s="3" t="s">
        <v>19</v>
      </c>
      <c r="J421" s="8" t="s">
        <v>3</v>
      </c>
      <c r="K421" s="3" t="s">
        <v>1027</v>
      </c>
      <c r="L421" s="3"/>
      <c r="M421" s="3"/>
      <c r="N421" s="3"/>
      <c r="O421" s="3"/>
      <c r="P421" s="3"/>
      <c r="Q421" s="3"/>
      <c r="R421" s="3"/>
      <c r="S421" s="3"/>
    </row>
    <row r="422" spans="1:19" ht="45" x14ac:dyDescent="0.25">
      <c r="A422" s="3"/>
      <c r="B422" s="3">
        <v>429</v>
      </c>
      <c r="C422" s="3" t="s">
        <v>96</v>
      </c>
      <c r="D422" s="3" t="s">
        <v>79</v>
      </c>
      <c r="E422" s="40">
        <f>441+346.5+189+36+108+126+67.5+72+504+144+72+441+72+189+315+180+63</f>
        <v>3366</v>
      </c>
      <c r="F422" s="4">
        <v>5000</v>
      </c>
      <c r="G422" s="5" t="s">
        <v>660</v>
      </c>
      <c r="H422" s="6" t="s">
        <v>26</v>
      </c>
      <c r="I422" s="3" t="s">
        <v>19</v>
      </c>
      <c r="J422" s="8" t="s">
        <v>3</v>
      </c>
      <c r="K422" s="3" t="s">
        <v>1028</v>
      </c>
      <c r="L422" s="3"/>
      <c r="M422" s="3"/>
      <c r="N422" s="3"/>
      <c r="O422" s="3"/>
      <c r="P422" s="3"/>
      <c r="Q422" s="3"/>
      <c r="R422" s="3"/>
      <c r="S422" s="3"/>
    </row>
    <row r="423" spans="1:19" ht="45" x14ac:dyDescent="0.25">
      <c r="A423" s="3"/>
      <c r="B423" s="3">
        <v>430</v>
      </c>
      <c r="C423" s="3" t="s">
        <v>949</v>
      </c>
      <c r="D423" s="3" t="s">
        <v>89</v>
      </c>
      <c r="E423" s="40">
        <v>400</v>
      </c>
      <c r="F423" s="4">
        <v>400</v>
      </c>
      <c r="G423" s="5" t="s">
        <v>660</v>
      </c>
      <c r="H423" s="6" t="s">
        <v>81</v>
      </c>
      <c r="I423" s="3" t="s">
        <v>19</v>
      </c>
      <c r="J423" s="8" t="s">
        <v>3</v>
      </c>
      <c r="K423" s="3" t="s">
        <v>1029</v>
      </c>
      <c r="L423" s="3"/>
      <c r="M423" s="3"/>
      <c r="N423" s="3"/>
      <c r="O423" s="3"/>
      <c r="P423" s="3"/>
      <c r="Q423" s="3"/>
      <c r="R423" s="3"/>
      <c r="S423" s="3"/>
    </row>
    <row r="424" spans="1:19" ht="45" x14ac:dyDescent="0.25">
      <c r="A424" s="3"/>
      <c r="B424" s="1">
        <v>431</v>
      </c>
      <c r="C424" s="3" t="s">
        <v>644</v>
      </c>
      <c r="D424" s="3" t="s">
        <v>104</v>
      </c>
      <c r="E424" s="40" t="s">
        <v>1109</v>
      </c>
      <c r="F424" s="4">
        <v>650</v>
      </c>
      <c r="G424" s="5" t="s">
        <v>660</v>
      </c>
      <c r="H424" s="6" t="s">
        <v>81</v>
      </c>
      <c r="I424" s="3" t="s">
        <v>19</v>
      </c>
      <c r="J424" s="8" t="s">
        <v>3</v>
      </c>
      <c r="K424" s="3" t="s">
        <v>1030</v>
      </c>
      <c r="L424" s="3"/>
      <c r="M424" s="3"/>
      <c r="N424" s="3"/>
      <c r="O424" s="3"/>
      <c r="P424" s="3"/>
      <c r="Q424" s="3"/>
      <c r="R424" s="3"/>
      <c r="S424" s="3"/>
    </row>
    <row r="425" spans="1:19" ht="101.25" x14ac:dyDescent="0.25">
      <c r="A425" s="3"/>
      <c r="B425" s="1">
        <v>432</v>
      </c>
      <c r="C425" s="3" t="s">
        <v>489</v>
      </c>
      <c r="D425" s="3" t="s">
        <v>101</v>
      </c>
      <c r="E425" s="40" t="s">
        <v>428</v>
      </c>
      <c r="F425" s="4">
        <v>1500</v>
      </c>
      <c r="G425" s="5" t="s">
        <v>660</v>
      </c>
      <c r="H425" s="6" t="s">
        <v>81</v>
      </c>
      <c r="I425" s="3" t="s">
        <v>19</v>
      </c>
      <c r="J425" s="10" t="s">
        <v>284</v>
      </c>
      <c r="K425" s="3" t="s">
        <v>1031</v>
      </c>
      <c r="L425" s="3"/>
      <c r="M425" s="3"/>
      <c r="N425" s="3"/>
      <c r="O425" s="3"/>
      <c r="P425" s="3"/>
      <c r="Q425" s="3"/>
      <c r="R425" s="3"/>
      <c r="S425" s="3"/>
    </row>
    <row r="426" spans="1:19" ht="45" x14ac:dyDescent="0.25">
      <c r="A426" s="3"/>
      <c r="B426" s="3">
        <v>433</v>
      </c>
      <c r="C426" s="3" t="s">
        <v>950</v>
      </c>
      <c r="D426" s="3" t="s">
        <v>89</v>
      </c>
      <c r="E426" s="40">
        <v>51.75</v>
      </c>
      <c r="F426" s="4">
        <v>60</v>
      </c>
      <c r="G426" s="5" t="s">
        <v>660</v>
      </c>
      <c r="H426" s="6" t="s">
        <v>81</v>
      </c>
      <c r="I426" s="3" t="s">
        <v>19</v>
      </c>
      <c r="J426" s="8" t="s">
        <v>3</v>
      </c>
      <c r="K426" s="3" t="s">
        <v>1032</v>
      </c>
      <c r="L426" s="3"/>
      <c r="M426" s="3"/>
      <c r="N426" s="3"/>
      <c r="O426" s="3"/>
      <c r="P426" s="3"/>
      <c r="Q426" s="3"/>
      <c r="R426" s="3"/>
      <c r="S426" s="3"/>
    </row>
    <row r="427" spans="1:19" ht="45" x14ac:dyDescent="0.25">
      <c r="A427" s="3"/>
      <c r="B427" s="3">
        <v>434</v>
      </c>
      <c r="C427" s="3" t="s">
        <v>169</v>
      </c>
      <c r="D427" s="3" t="s">
        <v>543</v>
      </c>
      <c r="E427" s="40" t="s">
        <v>1330</v>
      </c>
      <c r="F427" s="4">
        <v>1040</v>
      </c>
      <c r="G427" s="5" t="s">
        <v>660</v>
      </c>
      <c r="H427" s="6" t="s">
        <v>81</v>
      </c>
      <c r="I427" s="3" t="s">
        <v>19</v>
      </c>
      <c r="J427" s="8" t="s">
        <v>3</v>
      </c>
      <c r="K427" s="3" t="s">
        <v>1033</v>
      </c>
      <c r="L427" s="3"/>
      <c r="M427" s="3"/>
      <c r="N427" s="3"/>
      <c r="O427" s="3"/>
      <c r="P427" s="3"/>
      <c r="Q427" s="3"/>
      <c r="R427" s="3"/>
      <c r="S427" s="3"/>
    </row>
    <row r="428" spans="1:19" ht="45" x14ac:dyDescent="0.25">
      <c r="A428" s="3"/>
      <c r="B428" s="1">
        <v>435</v>
      </c>
      <c r="C428" s="3" t="s">
        <v>392</v>
      </c>
      <c r="D428" s="3" t="s">
        <v>543</v>
      </c>
      <c r="E428" s="40" t="s">
        <v>1353</v>
      </c>
      <c r="F428" s="4">
        <v>11270</v>
      </c>
      <c r="G428" s="5" t="s">
        <v>660</v>
      </c>
      <c r="H428" s="6" t="s">
        <v>81</v>
      </c>
      <c r="I428" s="3" t="s">
        <v>19</v>
      </c>
      <c r="J428" s="8" t="s">
        <v>3</v>
      </c>
      <c r="K428" s="3" t="s">
        <v>1034</v>
      </c>
      <c r="L428" s="3"/>
      <c r="M428" s="3"/>
      <c r="N428" s="3"/>
      <c r="O428" s="3"/>
      <c r="P428" s="3"/>
      <c r="Q428" s="3"/>
      <c r="R428" s="3"/>
      <c r="S428" s="3"/>
    </row>
    <row r="429" spans="1:19" ht="45" x14ac:dyDescent="0.25">
      <c r="A429" s="3"/>
      <c r="B429" s="1">
        <v>436</v>
      </c>
      <c r="C429" s="3" t="s">
        <v>951</v>
      </c>
      <c r="D429" s="3" t="s">
        <v>543</v>
      </c>
      <c r="E429" s="40" t="s">
        <v>578</v>
      </c>
      <c r="F429" s="4">
        <v>1100</v>
      </c>
      <c r="G429" s="5" t="s">
        <v>1035</v>
      </c>
      <c r="H429" s="6" t="s">
        <v>81</v>
      </c>
      <c r="I429" s="3" t="s">
        <v>19</v>
      </c>
      <c r="J429" s="8" t="s">
        <v>3</v>
      </c>
      <c r="K429" s="3" t="s">
        <v>1036</v>
      </c>
      <c r="L429" s="3"/>
      <c r="M429" s="3"/>
      <c r="N429" s="3"/>
      <c r="O429" s="3"/>
      <c r="P429" s="3"/>
      <c r="Q429" s="3"/>
      <c r="R429" s="3"/>
      <c r="S429" s="3"/>
    </row>
    <row r="430" spans="1:19" ht="45" x14ac:dyDescent="0.25">
      <c r="A430" s="3"/>
      <c r="B430" s="3">
        <v>437</v>
      </c>
      <c r="C430" s="3" t="s">
        <v>952</v>
      </c>
      <c r="D430" s="3" t="s">
        <v>85</v>
      </c>
      <c r="E430" s="40" t="s">
        <v>888</v>
      </c>
      <c r="F430" s="4">
        <v>1200</v>
      </c>
      <c r="G430" s="5" t="s">
        <v>1035</v>
      </c>
      <c r="H430" s="6" t="s">
        <v>81</v>
      </c>
      <c r="I430" s="3" t="s">
        <v>19</v>
      </c>
      <c r="J430" s="8" t="s">
        <v>3</v>
      </c>
      <c r="K430" s="3" t="s">
        <v>1037</v>
      </c>
      <c r="L430" s="3"/>
      <c r="M430" s="3"/>
      <c r="N430" s="3"/>
      <c r="O430" s="3"/>
      <c r="P430" s="3"/>
      <c r="Q430" s="3"/>
      <c r="R430" s="3"/>
      <c r="S430" s="3"/>
    </row>
    <row r="431" spans="1:19" ht="45" x14ac:dyDescent="0.25">
      <c r="A431" s="3"/>
      <c r="B431" s="3">
        <v>438</v>
      </c>
      <c r="C431" s="3" t="s">
        <v>645</v>
      </c>
      <c r="D431" s="3" t="s">
        <v>89</v>
      </c>
      <c r="E431" s="40" t="s">
        <v>1113</v>
      </c>
      <c r="F431" s="4">
        <v>180</v>
      </c>
      <c r="G431" s="5" t="s">
        <v>1035</v>
      </c>
      <c r="H431" s="6" t="s">
        <v>81</v>
      </c>
      <c r="I431" s="3" t="s">
        <v>19</v>
      </c>
      <c r="J431" s="8" t="s">
        <v>3</v>
      </c>
      <c r="K431" s="3" t="s">
        <v>1038</v>
      </c>
      <c r="L431" s="3"/>
      <c r="M431" s="3"/>
      <c r="N431" s="3"/>
      <c r="O431" s="3"/>
      <c r="P431" s="3"/>
      <c r="Q431" s="3"/>
      <c r="R431" s="3"/>
      <c r="S431" s="3"/>
    </row>
    <row r="432" spans="1:19" ht="45" x14ac:dyDescent="0.25">
      <c r="A432" s="3"/>
      <c r="B432" s="1">
        <v>439</v>
      </c>
      <c r="C432" s="3" t="s">
        <v>925</v>
      </c>
      <c r="D432" s="3" t="s">
        <v>104</v>
      </c>
      <c r="E432" s="40" t="s">
        <v>1337</v>
      </c>
      <c r="F432" s="4">
        <v>31253.200000000001</v>
      </c>
      <c r="G432" s="5" t="s">
        <v>1035</v>
      </c>
      <c r="H432" s="6" t="s">
        <v>81</v>
      </c>
      <c r="I432" s="3" t="s">
        <v>19</v>
      </c>
      <c r="J432" s="8" t="s">
        <v>3</v>
      </c>
      <c r="K432" s="3" t="s">
        <v>1039</v>
      </c>
      <c r="L432" s="3"/>
      <c r="M432" s="3"/>
      <c r="N432" s="3"/>
      <c r="O432" s="3"/>
      <c r="P432" s="3"/>
      <c r="Q432" s="3"/>
      <c r="R432" s="3"/>
      <c r="S432" s="3"/>
    </row>
    <row r="433" spans="1:19" ht="45" x14ac:dyDescent="0.25">
      <c r="A433" s="3"/>
      <c r="B433" s="1">
        <v>440</v>
      </c>
      <c r="C433" s="3" t="s">
        <v>623</v>
      </c>
      <c r="D433" s="3" t="s">
        <v>104</v>
      </c>
      <c r="E433" s="40" t="s">
        <v>1338</v>
      </c>
      <c r="F433" s="4">
        <v>6511</v>
      </c>
      <c r="G433" s="5" t="s">
        <v>1035</v>
      </c>
      <c r="H433" s="6" t="s">
        <v>81</v>
      </c>
      <c r="I433" s="3" t="s">
        <v>19</v>
      </c>
      <c r="J433" s="8" t="s">
        <v>3</v>
      </c>
      <c r="K433" s="3" t="s">
        <v>1040</v>
      </c>
      <c r="L433" s="3"/>
      <c r="M433" s="3"/>
      <c r="N433" s="3"/>
      <c r="O433" s="3"/>
      <c r="P433" s="3"/>
      <c r="Q433" s="3"/>
      <c r="R433" s="3"/>
      <c r="S433" s="3"/>
    </row>
    <row r="434" spans="1:19" ht="45" x14ac:dyDescent="0.25">
      <c r="A434" s="3"/>
      <c r="B434" s="3">
        <v>441</v>
      </c>
      <c r="C434" s="3" t="s">
        <v>624</v>
      </c>
      <c r="D434" s="3" t="s">
        <v>104</v>
      </c>
      <c r="E434" s="40" t="s">
        <v>1354</v>
      </c>
      <c r="F434" s="4">
        <v>19354.5</v>
      </c>
      <c r="G434" s="5" t="s">
        <v>1035</v>
      </c>
      <c r="H434" s="6" t="s">
        <v>81</v>
      </c>
      <c r="I434" s="3" t="s">
        <v>19</v>
      </c>
      <c r="J434" s="8" t="s">
        <v>3</v>
      </c>
      <c r="K434" s="3" t="s">
        <v>1041</v>
      </c>
      <c r="L434" s="3"/>
      <c r="M434" s="3"/>
      <c r="N434" s="3"/>
      <c r="O434" s="3"/>
      <c r="P434" s="3"/>
      <c r="Q434" s="3"/>
      <c r="R434" s="3"/>
      <c r="S434" s="3"/>
    </row>
    <row r="435" spans="1:19" ht="45" x14ac:dyDescent="0.25">
      <c r="A435" s="3"/>
      <c r="B435" s="3">
        <v>442</v>
      </c>
      <c r="C435" s="3" t="s">
        <v>444</v>
      </c>
      <c r="D435" s="3" t="s">
        <v>543</v>
      </c>
      <c r="E435" s="40" t="s">
        <v>428</v>
      </c>
      <c r="F435" s="4">
        <v>1500</v>
      </c>
      <c r="G435" s="5" t="s">
        <v>1042</v>
      </c>
      <c r="H435" s="6" t="s">
        <v>81</v>
      </c>
      <c r="I435" s="3" t="s">
        <v>19</v>
      </c>
      <c r="J435" s="8" t="s">
        <v>3</v>
      </c>
      <c r="K435" s="3" t="s">
        <v>1043</v>
      </c>
      <c r="L435" s="3"/>
      <c r="M435" s="3"/>
      <c r="N435" s="3"/>
      <c r="O435" s="3"/>
      <c r="P435" s="3"/>
      <c r="Q435" s="3"/>
      <c r="R435" s="3"/>
      <c r="S435" s="3"/>
    </row>
    <row r="436" spans="1:19" ht="45" x14ac:dyDescent="0.25">
      <c r="B436" s="1">
        <v>443</v>
      </c>
      <c r="C436" s="3" t="s">
        <v>953</v>
      </c>
      <c r="D436" s="3" t="s">
        <v>83</v>
      </c>
      <c r="E436" s="40" t="s">
        <v>1323</v>
      </c>
      <c r="F436" s="4">
        <v>1562</v>
      </c>
      <c r="G436" s="5" t="s">
        <v>1042</v>
      </c>
      <c r="H436" s="6" t="s">
        <v>81</v>
      </c>
      <c r="I436" s="3" t="s">
        <v>19</v>
      </c>
      <c r="J436" s="8" t="s">
        <v>3</v>
      </c>
      <c r="K436" s="3" t="s">
        <v>1044</v>
      </c>
      <c r="L436" s="3"/>
    </row>
    <row r="437" spans="1:19" ht="45" x14ac:dyDescent="0.25">
      <c r="B437" s="1">
        <v>444</v>
      </c>
      <c r="C437" s="3" t="s">
        <v>603</v>
      </c>
      <c r="D437" s="3" t="s">
        <v>85</v>
      </c>
      <c r="E437" s="40" t="s">
        <v>1386</v>
      </c>
      <c r="F437" s="4">
        <v>5075</v>
      </c>
      <c r="G437" s="5" t="s">
        <v>1042</v>
      </c>
      <c r="H437" s="6" t="s">
        <v>81</v>
      </c>
      <c r="I437" s="3" t="s">
        <v>19</v>
      </c>
      <c r="J437" s="8" t="s">
        <v>3</v>
      </c>
      <c r="K437" s="3" t="s">
        <v>1045</v>
      </c>
      <c r="L437" s="3"/>
    </row>
    <row r="438" spans="1:19" ht="22.5" x14ac:dyDescent="0.25">
      <c r="B438" s="3">
        <v>445</v>
      </c>
      <c r="C438" s="3" t="s">
        <v>954</v>
      </c>
      <c r="D438" s="3" t="s">
        <v>955</v>
      </c>
      <c r="E438" s="41">
        <v>1681</v>
      </c>
      <c r="F438" s="4">
        <v>1681</v>
      </c>
      <c r="G438" s="5" t="s">
        <v>1042</v>
      </c>
      <c r="H438" s="6" t="s">
        <v>81</v>
      </c>
      <c r="I438" s="3" t="s">
        <v>19</v>
      </c>
      <c r="J438" s="8" t="s">
        <v>1046</v>
      </c>
      <c r="K438" s="3"/>
      <c r="L438" s="3"/>
    </row>
    <row r="439" spans="1:19" ht="101.25" x14ac:dyDescent="0.25">
      <c r="B439" s="3">
        <v>446</v>
      </c>
      <c r="C439" s="3" t="s">
        <v>956</v>
      </c>
      <c r="D439" s="3" t="s">
        <v>957</v>
      </c>
      <c r="E439" s="40" t="s">
        <v>1098</v>
      </c>
      <c r="F439" s="4">
        <v>12465</v>
      </c>
      <c r="G439" s="5" t="s">
        <v>1042</v>
      </c>
      <c r="H439" s="6" t="s">
        <v>81</v>
      </c>
      <c r="I439" s="3" t="s">
        <v>19</v>
      </c>
      <c r="J439" s="10" t="s">
        <v>566</v>
      </c>
      <c r="K439" s="3" t="s">
        <v>1047</v>
      </c>
      <c r="L439" s="3"/>
    </row>
    <row r="440" spans="1:19" ht="45" x14ac:dyDescent="0.25">
      <c r="B440" s="1">
        <v>447</v>
      </c>
      <c r="C440" s="3" t="s">
        <v>958</v>
      </c>
      <c r="D440" s="3" t="s">
        <v>83</v>
      </c>
      <c r="E440" s="40">
        <v>187.5</v>
      </c>
      <c r="F440" s="4">
        <v>187.5</v>
      </c>
      <c r="G440" s="5" t="s">
        <v>1042</v>
      </c>
      <c r="H440" s="6" t="s">
        <v>81</v>
      </c>
      <c r="I440" s="3" t="s">
        <v>19</v>
      </c>
      <c r="J440" s="8" t="s">
        <v>3</v>
      </c>
      <c r="K440" s="3" t="s">
        <v>1048</v>
      </c>
      <c r="L440" s="3"/>
    </row>
    <row r="441" spans="1:19" ht="45.75" x14ac:dyDescent="0.25">
      <c r="B441" s="1">
        <v>448</v>
      </c>
      <c r="C441" s="3" t="s">
        <v>959</v>
      </c>
      <c r="D441" s="3" t="s">
        <v>960</v>
      </c>
      <c r="E441" s="40">
        <f>145*6+72.5</f>
        <v>942.5</v>
      </c>
      <c r="F441" s="4">
        <v>870</v>
      </c>
      <c r="G441" s="5" t="s">
        <v>1042</v>
      </c>
      <c r="H441" s="6" t="s">
        <v>81</v>
      </c>
      <c r="I441" s="3" t="s">
        <v>19</v>
      </c>
      <c r="J441" s="8" t="s">
        <v>7</v>
      </c>
      <c r="K441" s="3" t="s">
        <v>1049</v>
      </c>
      <c r="L441" s="3"/>
    </row>
    <row r="442" spans="1:19" ht="90" x14ac:dyDescent="0.25">
      <c r="B442" s="3">
        <v>449</v>
      </c>
      <c r="C442" s="3" t="s">
        <v>47</v>
      </c>
      <c r="D442" s="3" t="s">
        <v>35</v>
      </c>
      <c r="E442" s="40">
        <f>300*5+297.97</f>
        <v>1797.97</v>
      </c>
      <c r="F442" s="4">
        <v>1800</v>
      </c>
      <c r="G442" s="5" t="s">
        <v>1042</v>
      </c>
      <c r="H442" s="6" t="s">
        <v>81</v>
      </c>
      <c r="I442" s="3" t="s">
        <v>19</v>
      </c>
      <c r="J442" s="10" t="s">
        <v>27</v>
      </c>
      <c r="K442" s="3" t="s">
        <v>1050</v>
      </c>
      <c r="L442" s="3"/>
    </row>
    <row r="443" spans="1:19" ht="45" x14ac:dyDescent="0.25">
      <c r="B443" s="1">
        <v>451</v>
      </c>
      <c r="C443" s="3" t="s">
        <v>603</v>
      </c>
      <c r="D443" s="3" t="s">
        <v>89</v>
      </c>
      <c r="E443" s="40">
        <f>549.7+701.73+158.7+96.6</f>
        <v>1506.73</v>
      </c>
      <c r="F443" s="4">
        <v>10000</v>
      </c>
      <c r="G443" s="5" t="s">
        <v>1051</v>
      </c>
      <c r="H443" s="6" t="s">
        <v>81</v>
      </c>
      <c r="I443" s="3" t="s">
        <v>19</v>
      </c>
      <c r="J443" s="8" t="s">
        <v>3</v>
      </c>
      <c r="K443" s="3" t="s">
        <v>1052</v>
      </c>
      <c r="L443" s="3"/>
    </row>
    <row r="444" spans="1:19" ht="45" x14ac:dyDescent="0.25">
      <c r="B444" s="1">
        <v>452</v>
      </c>
      <c r="C444" s="3" t="s">
        <v>925</v>
      </c>
      <c r="D444" s="3" t="s">
        <v>104</v>
      </c>
      <c r="E444" s="40" t="s">
        <v>1339</v>
      </c>
      <c r="F444" s="4">
        <v>3117.3</v>
      </c>
      <c r="G444" s="5" t="s">
        <v>1051</v>
      </c>
      <c r="H444" s="6" t="s">
        <v>81</v>
      </c>
      <c r="I444" s="3" t="s">
        <v>19</v>
      </c>
      <c r="J444" s="8" t="s">
        <v>3</v>
      </c>
      <c r="K444" s="3" t="s">
        <v>1053</v>
      </c>
      <c r="L444" s="3"/>
    </row>
    <row r="445" spans="1:19" ht="45" x14ac:dyDescent="0.25">
      <c r="B445" s="3">
        <v>453</v>
      </c>
      <c r="C445" s="3" t="s">
        <v>623</v>
      </c>
      <c r="D445" s="3" t="s">
        <v>104</v>
      </c>
      <c r="E445" s="40" t="s">
        <v>1336</v>
      </c>
      <c r="F445" s="4">
        <v>2385</v>
      </c>
      <c r="G445" s="5" t="s">
        <v>1051</v>
      </c>
      <c r="H445" s="6" t="s">
        <v>81</v>
      </c>
      <c r="I445" s="3" t="s">
        <v>19</v>
      </c>
      <c r="J445" s="8" t="s">
        <v>3</v>
      </c>
      <c r="K445" s="3" t="s">
        <v>1054</v>
      </c>
      <c r="L445" s="3"/>
    </row>
    <row r="446" spans="1:19" ht="45" x14ac:dyDescent="0.25">
      <c r="B446" s="3">
        <v>454</v>
      </c>
      <c r="C446" s="3" t="s">
        <v>624</v>
      </c>
      <c r="D446" s="3" t="s">
        <v>104</v>
      </c>
      <c r="E446" s="40">
        <v>675.8</v>
      </c>
      <c r="F446" s="4">
        <v>675.8</v>
      </c>
      <c r="G446" s="5" t="s">
        <v>1051</v>
      </c>
      <c r="H446" s="6" t="s">
        <v>81</v>
      </c>
      <c r="I446" s="3" t="s">
        <v>19</v>
      </c>
      <c r="J446" s="8" t="s">
        <v>3</v>
      </c>
      <c r="K446" s="3" t="s">
        <v>1055</v>
      </c>
      <c r="L446" s="3"/>
    </row>
    <row r="447" spans="1:19" ht="45" x14ac:dyDescent="0.25">
      <c r="B447" s="1">
        <v>455</v>
      </c>
      <c r="C447" s="3" t="s">
        <v>169</v>
      </c>
      <c r="D447" s="3" t="s">
        <v>543</v>
      </c>
      <c r="E447" s="40">
        <v>610</v>
      </c>
      <c r="F447" s="4">
        <v>610</v>
      </c>
      <c r="G447" s="5" t="s">
        <v>1051</v>
      </c>
      <c r="H447" s="6" t="s">
        <v>81</v>
      </c>
      <c r="I447" s="3" t="s">
        <v>19</v>
      </c>
      <c r="J447" s="8" t="s">
        <v>3</v>
      </c>
      <c r="K447" s="3" t="s">
        <v>1332</v>
      </c>
      <c r="L447" s="3"/>
    </row>
    <row r="448" spans="1:19" ht="45" x14ac:dyDescent="0.25">
      <c r="B448" s="1">
        <v>456</v>
      </c>
      <c r="C448" s="3" t="s">
        <v>961</v>
      </c>
      <c r="D448" s="3" t="s">
        <v>89</v>
      </c>
      <c r="E448" s="40" t="s">
        <v>1377</v>
      </c>
      <c r="F448" s="4">
        <v>1700</v>
      </c>
      <c r="G448" s="5" t="s">
        <v>1056</v>
      </c>
      <c r="H448" s="6" t="s">
        <v>81</v>
      </c>
      <c r="I448" s="3" t="s">
        <v>19</v>
      </c>
      <c r="J448" s="8" t="s">
        <v>3</v>
      </c>
      <c r="K448" s="3" t="s">
        <v>1132</v>
      </c>
      <c r="L448" s="3"/>
    </row>
    <row r="449" spans="2:12" ht="45" x14ac:dyDescent="0.25">
      <c r="B449" s="3">
        <v>457</v>
      </c>
      <c r="C449" s="3" t="s">
        <v>962</v>
      </c>
      <c r="D449" s="3" t="s">
        <v>89</v>
      </c>
      <c r="E449" s="40" t="s">
        <v>1351</v>
      </c>
      <c r="F449" s="4">
        <v>2040</v>
      </c>
      <c r="G449" s="5" t="s">
        <v>1056</v>
      </c>
      <c r="H449" s="6" t="s">
        <v>81</v>
      </c>
      <c r="I449" s="3" t="s">
        <v>19</v>
      </c>
      <c r="J449" s="8" t="s">
        <v>3</v>
      </c>
      <c r="K449" s="3" t="s">
        <v>1133</v>
      </c>
      <c r="L449" s="3"/>
    </row>
    <row r="450" spans="2:12" ht="45" x14ac:dyDescent="0.25">
      <c r="B450" s="3">
        <v>458</v>
      </c>
      <c r="C450" s="3" t="s">
        <v>133</v>
      </c>
      <c r="D450" s="3" t="s">
        <v>89</v>
      </c>
      <c r="E450" s="40">
        <v>708</v>
      </c>
      <c r="F450" s="4">
        <v>708</v>
      </c>
      <c r="G450" s="5" t="s">
        <v>1056</v>
      </c>
      <c r="H450" s="6" t="s">
        <v>81</v>
      </c>
      <c r="I450" s="3" t="s">
        <v>19</v>
      </c>
      <c r="J450" s="8" t="s">
        <v>3</v>
      </c>
      <c r="K450" s="3" t="s">
        <v>1134</v>
      </c>
      <c r="L450" s="3"/>
    </row>
    <row r="451" spans="2:12" ht="45" x14ac:dyDescent="0.25">
      <c r="B451" s="1">
        <v>459</v>
      </c>
      <c r="C451" s="3" t="s">
        <v>393</v>
      </c>
      <c r="D451" s="3" t="s">
        <v>83</v>
      </c>
      <c r="E451" s="40" t="s">
        <v>1326</v>
      </c>
      <c r="F451" s="4">
        <v>200</v>
      </c>
      <c r="G451" s="5" t="s">
        <v>1056</v>
      </c>
      <c r="H451" s="6" t="s">
        <v>81</v>
      </c>
      <c r="I451" s="3" t="s">
        <v>19</v>
      </c>
      <c r="J451" s="8" t="s">
        <v>3</v>
      </c>
      <c r="K451" s="3" t="s">
        <v>1057</v>
      </c>
      <c r="L451" s="3"/>
    </row>
    <row r="452" spans="2:12" ht="45" x14ac:dyDescent="0.25">
      <c r="B452" s="1">
        <v>460</v>
      </c>
      <c r="C452" s="3" t="s">
        <v>963</v>
      </c>
      <c r="D452" s="3" t="s">
        <v>543</v>
      </c>
      <c r="E452" s="40" t="s">
        <v>1327</v>
      </c>
      <c r="F452" s="4">
        <v>600</v>
      </c>
      <c r="G452" s="5" t="s">
        <v>1056</v>
      </c>
      <c r="H452" s="6" t="s">
        <v>81</v>
      </c>
      <c r="I452" s="3" t="s">
        <v>19</v>
      </c>
      <c r="J452" s="8" t="s">
        <v>3</v>
      </c>
      <c r="K452" s="3" t="s">
        <v>1058</v>
      </c>
      <c r="L452" s="3"/>
    </row>
    <row r="453" spans="2:12" ht="45" x14ac:dyDescent="0.25">
      <c r="B453" s="3">
        <v>461</v>
      </c>
      <c r="C453" s="3" t="s">
        <v>964</v>
      </c>
      <c r="D453" s="3" t="s">
        <v>83</v>
      </c>
      <c r="E453" s="40" t="s">
        <v>1326</v>
      </c>
      <c r="F453" s="4">
        <v>200</v>
      </c>
      <c r="G453" s="5" t="s">
        <v>1056</v>
      </c>
      <c r="H453" s="6" t="s">
        <v>81</v>
      </c>
      <c r="I453" s="3" t="s">
        <v>19</v>
      </c>
      <c r="J453" s="8" t="s">
        <v>3</v>
      </c>
      <c r="K453" s="3" t="s">
        <v>1059</v>
      </c>
      <c r="L453" s="3"/>
    </row>
    <row r="454" spans="2:12" ht="90" x14ac:dyDescent="0.25">
      <c r="B454" s="3">
        <v>462</v>
      </c>
      <c r="C454" s="3" t="s">
        <v>965</v>
      </c>
      <c r="D454" s="3" t="s">
        <v>966</v>
      </c>
      <c r="E454" s="40">
        <f>19455.84+19106.64</f>
        <v>38562.479999999996</v>
      </c>
      <c r="F454" s="4">
        <v>38880</v>
      </c>
      <c r="G454" s="5" t="s">
        <v>1056</v>
      </c>
      <c r="H454" s="6" t="s">
        <v>81</v>
      </c>
      <c r="I454" s="3" t="s">
        <v>19</v>
      </c>
      <c r="J454" s="10" t="s">
        <v>866</v>
      </c>
      <c r="K454" s="3" t="s">
        <v>1060</v>
      </c>
      <c r="L454" s="3"/>
    </row>
    <row r="455" spans="2:12" ht="45" x14ac:dyDescent="0.25">
      <c r="B455" s="1">
        <v>463</v>
      </c>
      <c r="C455" s="3" t="s">
        <v>624</v>
      </c>
      <c r="D455" s="3" t="s">
        <v>104</v>
      </c>
      <c r="E455" s="40" t="s">
        <v>1340</v>
      </c>
      <c r="F455" s="4">
        <v>7353.4</v>
      </c>
      <c r="G455" s="5" t="s">
        <v>1056</v>
      </c>
      <c r="H455" s="6" t="s">
        <v>81</v>
      </c>
      <c r="I455" s="3" t="s">
        <v>19</v>
      </c>
      <c r="J455" s="8" t="s">
        <v>3</v>
      </c>
      <c r="K455" s="3" t="s">
        <v>1061</v>
      </c>
      <c r="L455" s="3"/>
    </row>
    <row r="456" spans="2:12" ht="45" x14ac:dyDescent="0.25">
      <c r="B456" s="1">
        <v>464</v>
      </c>
      <c r="C456" s="12" t="s">
        <v>925</v>
      </c>
      <c r="D456" s="3" t="s">
        <v>104</v>
      </c>
      <c r="E456" s="40" t="s">
        <v>1334</v>
      </c>
      <c r="F456" s="4">
        <v>6687</v>
      </c>
      <c r="G456" s="5" t="s">
        <v>1056</v>
      </c>
      <c r="H456" s="6" t="s">
        <v>81</v>
      </c>
      <c r="I456" s="3" t="s">
        <v>19</v>
      </c>
      <c r="J456" s="8" t="s">
        <v>3</v>
      </c>
      <c r="K456" s="3" t="s">
        <v>1062</v>
      </c>
      <c r="L456" s="3"/>
    </row>
    <row r="457" spans="2:12" ht="45" x14ac:dyDescent="0.25">
      <c r="B457" s="3">
        <v>465</v>
      </c>
      <c r="C457" s="3" t="s">
        <v>967</v>
      </c>
      <c r="D457" s="3" t="s">
        <v>5</v>
      </c>
      <c r="E457" s="40" t="s">
        <v>1442</v>
      </c>
      <c r="F457" s="4">
        <v>14400</v>
      </c>
      <c r="G457" s="5" t="s">
        <v>1056</v>
      </c>
      <c r="H457" s="6" t="s">
        <v>81</v>
      </c>
      <c r="I457" s="3" t="s">
        <v>19</v>
      </c>
      <c r="J457" s="8" t="s">
        <v>3</v>
      </c>
      <c r="K457" s="3" t="s">
        <v>1135</v>
      </c>
      <c r="L457" s="3"/>
    </row>
    <row r="458" spans="2:12" ht="45" x14ac:dyDescent="0.25">
      <c r="B458" s="3">
        <v>466</v>
      </c>
      <c r="C458" s="3" t="s">
        <v>789</v>
      </c>
      <c r="D458" s="3" t="s">
        <v>83</v>
      </c>
      <c r="E458" s="40" t="s">
        <v>923</v>
      </c>
      <c r="F458" s="4">
        <v>1750</v>
      </c>
      <c r="G458" s="5" t="s">
        <v>1063</v>
      </c>
      <c r="H458" s="6" t="s">
        <v>81</v>
      </c>
      <c r="I458" s="3" t="s">
        <v>19</v>
      </c>
      <c r="J458" s="8" t="s">
        <v>3</v>
      </c>
      <c r="K458" s="3" t="s">
        <v>1136</v>
      </c>
      <c r="L458" s="3"/>
    </row>
    <row r="459" spans="2:12" ht="45" x14ac:dyDescent="0.25">
      <c r="B459" s="1">
        <v>467</v>
      </c>
      <c r="C459" s="3" t="s">
        <v>392</v>
      </c>
      <c r="D459" s="3" t="s">
        <v>543</v>
      </c>
      <c r="E459" s="40" t="s">
        <v>514</v>
      </c>
      <c r="F459" s="4">
        <v>1500</v>
      </c>
      <c r="G459" s="5" t="s">
        <v>1063</v>
      </c>
      <c r="H459" s="6" t="s">
        <v>81</v>
      </c>
      <c r="I459" s="3" t="s">
        <v>19</v>
      </c>
      <c r="J459" s="8" t="s">
        <v>3</v>
      </c>
      <c r="K459" s="3" t="s">
        <v>1064</v>
      </c>
      <c r="L459" s="3"/>
    </row>
    <row r="460" spans="2:12" ht="45" x14ac:dyDescent="0.25">
      <c r="B460" s="1">
        <v>468</v>
      </c>
      <c r="C460" s="3" t="s">
        <v>968</v>
      </c>
      <c r="D460" s="3" t="s">
        <v>89</v>
      </c>
      <c r="E460" s="40" t="s">
        <v>1381</v>
      </c>
      <c r="F460" s="4">
        <v>2040</v>
      </c>
      <c r="G460" s="5" t="s">
        <v>1063</v>
      </c>
      <c r="H460" s="6" t="s">
        <v>81</v>
      </c>
      <c r="I460" s="3" t="s">
        <v>19</v>
      </c>
      <c r="J460" s="8" t="s">
        <v>3</v>
      </c>
      <c r="K460" s="3" t="s">
        <v>1137</v>
      </c>
      <c r="L460" s="3"/>
    </row>
    <row r="461" spans="2:12" ht="45" x14ac:dyDescent="0.25">
      <c r="B461" s="3">
        <v>469</v>
      </c>
      <c r="C461" s="3" t="s">
        <v>969</v>
      </c>
      <c r="D461" s="3" t="s">
        <v>5</v>
      </c>
      <c r="E461" s="40" t="s">
        <v>1389</v>
      </c>
      <c r="F461" s="4">
        <v>637.20000000000005</v>
      </c>
      <c r="G461" s="5" t="s">
        <v>1063</v>
      </c>
      <c r="H461" s="6" t="s">
        <v>81</v>
      </c>
      <c r="I461" s="3" t="s">
        <v>19</v>
      </c>
      <c r="J461" s="8" t="s">
        <v>3</v>
      </c>
      <c r="K461" s="3" t="s">
        <v>1138</v>
      </c>
      <c r="L461" s="3"/>
    </row>
    <row r="462" spans="2:12" ht="45" x14ac:dyDescent="0.25">
      <c r="B462" s="1">
        <v>471</v>
      </c>
      <c r="C462" s="3" t="s">
        <v>625</v>
      </c>
      <c r="D462" s="3" t="s">
        <v>5</v>
      </c>
      <c r="E462" s="40">
        <v>687.24</v>
      </c>
      <c r="F462" s="4">
        <v>687.24</v>
      </c>
      <c r="G462" s="5" t="s">
        <v>1063</v>
      </c>
      <c r="H462" s="6" t="s">
        <v>81</v>
      </c>
      <c r="I462" s="3" t="s">
        <v>19</v>
      </c>
      <c r="J462" s="8" t="s">
        <v>3</v>
      </c>
      <c r="K462" s="3" t="s">
        <v>1139</v>
      </c>
      <c r="L462" s="3"/>
    </row>
    <row r="463" spans="2:12" ht="45" x14ac:dyDescent="0.25">
      <c r="B463" s="3">
        <v>473</v>
      </c>
      <c r="C463" s="3" t="s">
        <v>603</v>
      </c>
      <c r="D463" s="3" t="s">
        <v>5</v>
      </c>
      <c r="E463" s="40" t="s">
        <v>1358</v>
      </c>
      <c r="F463" s="4">
        <v>750</v>
      </c>
      <c r="G463" s="5" t="s">
        <v>1063</v>
      </c>
      <c r="H463" s="6" t="s">
        <v>81</v>
      </c>
      <c r="I463" s="3" t="s">
        <v>19</v>
      </c>
      <c r="J463" s="8" t="s">
        <v>3</v>
      </c>
      <c r="K463" s="3" t="s">
        <v>1140</v>
      </c>
      <c r="L463" s="3"/>
    </row>
    <row r="464" spans="2:12" ht="45" x14ac:dyDescent="0.25">
      <c r="B464" s="3">
        <v>474</v>
      </c>
      <c r="C464" s="3" t="s">
        <v>799</v>
      </c>
      <c r="D464" s="3" t="s">
        <v>89</v>
      </c>
      <c r="E464" s="40">
        <v>147.4</v>
      </c>
      <c r="F464" s="4">
        <v>150</v>
      </c>
      <c r="G464" s="5" t="s">
        <v>1063</v>
      </c>
      <c r="H464" s="6" t="s">
        <v>81</v>
      </c>
      <c r="I464" s="3" t="s">
        <v>19</v>
      </c>
      <c r="J464" s="8" t="s">
        <v>3</v>
      </c>
      <c r="K464" s="3" t="s">
        <v>1141</v>
      </c>
      <c r="L464" s="3"/>
    </row>
    <row r="465" spans="2:12" ht="45" x14ac:dyDescent="0.25">
      <c r="B465" s="1">
        <v>475</v>
      </c>
      <c r="C465" s="12" t="s">
        <v>971</v>
      </c>
      <c r="D465" s="12" t="s">
        <v>5</v>
      </c>
      <c r="E465" s="40" t="s">
        <v>1391</v>
      </c>
      <c r="F465" s="4">
        <v>2655</v>
      </c>
      <c r="G465" s="5" t="s">
        <v>1063</v>
      </c>
      <c r="H465" s="6" t="s">
        <v>81</v>
      </c>
      <c r="I465" s="3" t="s">
        <v>19</v>
      </c>
      <c r="J465" s="8" t="s">
        <v>3</v>
      </c>
      <c r="K465" s="3" t="s">
        <v>1142</v>
      </c>
      <c r="L465" s="3"/>
    </row>
    <row r="466" spans="2:12" ht="45" x14ac:dyDescent="0.25">
      <c r="B466" s="1">
        <v>476</v>
      </c>
      <c r="C466" s="3" t="s">
        <v>972</v>
      </c>
      <c r="D466" s="3" t="s">
        <v>89</v>
      </c>
      <c r="E466" s="40" t="s">
        <v>1390</v>
      </c>
      <c r="F466" s="4">
        <v>150</v>
      </c>
      <c r="G466" s="5" t="s">
        <v>1063</v>
      </c>
      <c r="H466" s="6" t="s">
        <v>81</v>
      </c>
      <c r="I466" s="3" t="s">
        <v>19</v>
      </c>
      <c r="J466" s="8" t="s">
        <v>3</v>
      </c>
      <c r="K466" s="3" t="s">
        <v>1143</v>
      </c>
      <c r="L466" s="3"/>
    </row>
    <row r="467" spans="2:12" ht="45" x14ac:dyDescent="0.25">
      <c r="B467" s="3">
        <v>477</v>
      </c>
      <c r="C467" s="3" t="s">
        <v>928</v>
      </c>
      <c r="D467" s="3" t="s">
        <v>83</v>
      </c>
      <c r="E467" s="40" t="s">
        <v>1393</v>
      </c>
      <c r="F467" s="4">
        <v>3306</v>
      </c>
      <c r="G467" s="5" t="s">
        <v>1063</v>
      </c>
      <c r="H467" s="6" t="s">
        <v>81</v>
      </c>
      <c r="I467" s="3" t="s">
        <v>19</v>
      </c>
      <c r="J467" s="8" t="s">
        <v>3</v>
      </c>
      <c r="K467" s="3" t="s">
        <v>1144</v>
      </c>
      <c r="L467" s="3"/>
    </row>
    <row r="468" spans="2:12" ht="45" x14ac:dyDescent="0.25">
      <c r="B468" s="3">
        <v>478</v>
      </c>
      <c r="C468" s="3" t="s">
        <v>971</v>
      </c>
      <c r="D468" s="3" t="s">
        <v>297</v>
      </c>
      <c r="E468" s="40">
        <v>106.2</v>
      </c>
      <c r="F468" s="4">
        <v>106.2</v>
      </c>
      <c r="G468" s="5" t="s">
        <v>1063</v>
      </c>
      <c r="H468" s="6" t="s">
        <v>81</v>
      </c>
      <c r="I468" s="3" t="s">
        <v>19</v>
      </c>
      <c r="J468" s="8" t="s">
        <v>3</v>
      </c>
      <c r="K468" s="3" t="s">
        <v>1145</v>
      </c>
      <c r="L468" s="3"/>
    </row>
    <row r="469" spans="2:12" ht="101.25" x14ac:dyDescent="0.25">
      <c r="B469" s="1">
        <v>479</v>
      </c>
      <c r="C469" s="3" t="s">
        <v>265</v>
      </c>
      <c r="D469" s="3" t="s">
        <v>973</v>
      </c>
      <c r="E469" s="40" t="s">
        <v>1799</v>
      </c>
      <c r="F469" s="4">
        <v>80</v>
      </c>
      <c r="G469" s="5" t="s">
        <v>1063</v>
      </c>
      <c r="H469" s="6" t="s">
        <v>81</v>
      </c>
      <c r="I469" s="3" t="s">
        <v>19</v>
      </c>
      <c r="J469" s="10" t="s">
        <v>284</v>
      </c>
      <c r="K469" s="3" t="s">
        <v>1146</v>
      </c>
      <c r="L469" s="3"/>
    </row>
    <row r="470" spans="2:12" ht="101.25" x14ac:dyDescent="0.25">
      <c r="B470" s="1">
        <v>480</v>
      </c>
      <c r="C470" s="3" t="s">
        <v>974</v>
      </c>
      <c r="D470" s="3" t="s">
        <v>975</v>
      </c>
      <c r="E470" s="40" t="s">
        <v>1355</v>
      </c>
      <c r="F470" s="4">
        <v>5811.26</v>
      </c>
      <c r="G470" s="5" t="s">
        <v>1063</v>
      </c>
      <c r="H470" s="6" t="s">
        <v>81</v>
      </c>
      <c r="I470" s="3" t="s">
        <v>19</v>
      </c>
      <c r="J470" s="10" t="s">
        <v>566</v>
      </c>
      <c r="K470" s="3" t="s">
        <v>1147</v>
      </c>
      <c r="L470" s="3"/>
    </row>
    <row r="471" spans="2:12" ht="45" x14ac:dyDescent="0.25">
      <c r="B471" s="3">
        <v>481</v>
      </c>
      <c r="C471" s="3" t="s">
        <v>976</v>
      </c>
      <c r="D471" s="3" t="s">
        <v>543</v>
      </c>
      <c r="E471" s="40" t="s">
        <v>1441</v>
      </c>
      <c r="F471" s="4">
        <v>4869.8599999999997</v>
      </c>
      <c r="G471" s="5" t="s">
        <v>1063</v>
      </c>
      <c r="H471" s="6" t="s">
        <v>81</v>
      </c>
      <c r="I471" s="3" t="s">
        <v>19</v>
      </c>
      <c r="J471" s="8" t="s">
        <v>3</v>
      </c>
      <c r="K471" s="3" t="s">
        <v>1148</v>
      </c>
      <c r="L471" s="3"/>
    </row>
    <row r="472" spans="2:12" ht="45" x14ac:dyDescent="0.25">
      <c r="B472" s="3">
        <v>482</v>
      </c>
      <c r="C472" s="3" t="s">
        <v>1438</v>
      </c>
      <c r="D472" s="3" t="s">
        <v>5</v>
      </c>
      <c r="E472" s="40" t="s">
        <v>1439</v>
      </c>
      <c r="F472" s="4">
        <v>25687.5</v>
      </c>
      <c r="G472" s="5" t="s">
        <v>1063</v>
      </c>
      <c r="H472" s="6" t="s">
        <v>81</v>
      </c>
      <c r="I472" s="3" t="s">
        <v>19</v>
      </c>
      <c r="J472" s="8" t="s">
        <v>3</v>
      </c>
      <c r="K472" s="3" t="s">
        <v>1149</v>
      </c>
      <c r="L472" s="3"/>
    </row>
    <row r="473" spans="2:12" ht="45" x14ac:dyDescent="0.25">
      <c r="B473" s="1">
        <v>483</v>
      </c>
      <c r="C473" s="3" t="s">
        <v>542</v>
      </c>
      <c r="D473" s="3" t="s">
        <v>543</v>
      </c>
      <c r="E473" s="40" t="s">
        <v>1398</v>
      </c>
      <c r="F473" s="4">
        <v>8415</v>
      </c>
      <c r="G473" s="5" t="s">
        <v>1063</v>
      </c>
      <c r="H473" s="6" t="s">
        <v>81</v>
      </c>
      <c r="I473" s="3" t="s">
        <v>19</v>
      </c>
      <c r="J473" s="8" t="s">
        <v>3</v>
      </c>
      <c r="K473" s="3" t="s">
        <v>1150</v>
      </c>
      <c r="L473" s="3"/>
    </row>
    <row r="474" spans="2:12" ht="45" x14ac:dyDescent="0.25">
      <c r="B474" s="1">
        <v>484</v>
      </c>
      <c r="C474" s="3" t="s">
        <v>169</v>
      </c>
      <c r="D474" s="3" t="s">
        <v>543</v>
      </c>
      <c r="E474" s="40" t="s">
        <v>1364</v>
      </c>
      <c r="F474" s="4">
        <v>2320</v>
      </c>
      <c r="G474" s="5" t="s">
        <v>1063</v>
      </c>
      <c r="H474" s="6" t="s">
        <v>81</v>
      </c>
      <c r="I474" s="3" t="s">
        <v>19</v>
      </c>
      <c r="J474" s="8" t="s">
        <v>3</v>
      </c>
      <c r="K474" s="3" t="s">
        <v>1151</v>
      </c>
      <c r="L474" s="3"/>
    </row>
    <row r="475" spans="2:12" ht="45" x14ac:dyDescent="0.25">
      <c r="B475" s="3">
        <v>485</v>
      </c>
      <c r="C475" s="32" t="s">
        <v>925</v>
      </c>
      <c r="D475" s="3" t="s">
        <v>104</v>
      </c>
      <c r="E475" s="40" t="s">
        <v>1359</v>
      </c>
      <c r="F475" s="4" t="s">
        <v>1360</v>
      </c>
      <c r="G475" s="5" t="s">
        <v>1063</v>
      </c>
      <c r="H475" s="6" t="s">
        <v>81</v>
      </c>
      <c r="I475" s="3" t="s">
        <v>19</v>
      </c>
      <c r="J475" s="8" t="s">
        <v>3</v>
      </c>
      <c r="K475" s="3" t="s">
        <v>1152</v>
      </c>
      <c r="L475" s="3"/>
    </row>
    <row r="476" spans="2:12" ht="101.25" x14ac:dyDescent="0.25">
      <c r="B476" s="3">
        <v>486</v>
      </c>
      <c r="C476" s="63" t="s">
        <v>1331</v>
      </c>
      <c r="D476" s="3" t="s">
        <v>977</v>
      </c>
      <c r="E476" s="40" t="s">
        <v>1349</v>
      </c>
      <c r="F476" s="4">
        <v>1260</v>
      </c>
      <c r="G476" s="5" t="s">
        <v>1065</v>
      </c>
      <c r="H476" s="6" t="s">
        <v>81</v>
      </c>
      <c r="I476" s="3" t="s">
        <v>19</v>
      </c>
      <c r="J476" s="10" t="s">
        <v>566</v>
      </c>
      <c r="K476" s="3" t="s">
        <v>1066</v>
      </c>
      <c r="L476" s="3"/>
    </row>
    <row r="477" spans="2:12" ht="101.25" x14ac:dyDescent="0.25">
      <c r="B477" s="1">
        <v>487</v>
      </c>
      <c r="C477" s="3" t="s">
        <v>978</v>
      </c>
      <c r="D477" s="3" t="s">
        <v>977</v>
      </c>
      <c r="E477" s="40">
        <v>469.41</v>
      </c>
      <c r="F477" s="4">
        <v>472.5</v>
      </c>
      <c r="G477" s="5" t="s">
        <v>1065</v>
      </c>
      <c r="H477" s="6" t="s">
        <v>81</v>
      </c>
      <c r="I477" s="3" t="s">
        <v>19</v>
      </c>
      <c r="J477" s="10" t="s">
        <v>566</v>
      </c>
      <c r="K477" s="3" t="s">
        <v>1153</v>
      </c>
      <c r="L477" s="3"/>
    </row>
    <row r="478" spans="2:12" ht="45" x14ac:dyDescent="0.25">
      <c r="B478" s="1">
        <v>488</v>
      </c>
      <c r="C478" s="3" t="s">
        <v>1369</v>
      </c>
      <c r="D478" s="3" t="s">
        <v>83</v>
      </c>
      <c r="E478" s="40" t="s">
        <v>1368</v>
      </c>
      <c r="F478" s="4">
        <v>1345</v>
      </c>
      <c r="G478" s="5" t="s">
        <v>1065</v>
      </c>
      <c r="H478" s="6" t="s">
        <v>81</v>
      </c>
      <c r="I478" s="3" t="s">
        <v>19</v>
      </c>
      <c r="J478" s="8" t="s">
        <v>3</v>
      </c>
      <c r="K478" s="3" t="s">
        <v>1154</v>
      </c>
      <c r="L478" s="3"/>
    </row>
    <row r="479" spans="2:12" ht="45" x14ac:dyDescent="0.25">
      <c r="B479" s="3">
        <v>489</v>
      </c>
      <c r="C479" s="3" t="s">
        <v>170</v>
      </c>
      <c r="D479" s="3" t="s">
        <v>83</v>
      </c>
      <c r="E479" s="40" t="s">
        <v>1397</v>
      </c>
      <c r="F479" s="4">
        <v>2987.5</v>
      </c>
      <c r="G479" s="5" t="s">
        <v>1067</v>
      </c>
      <c r="H479" s="6" t="s">
        <v>81</v>
      </c>
      <c r="I479" s="3" t="s">
        <v>19</v>
      </c>
      <c r="J479" s="8" t="s">
        <v>3</v>
      </c>
      <c r="K479" s="3" t="s">
        <v>1155</v>
      </c>
      <c r="L479" s="3"/>
    </row>
    <row r="480" spans="2:12" ht="45" x14ac:dyDescent="0.25">
      <c r="B480" s="3">
        <v>490</v>
      </c>
      <c r="C480" s="3" t="s">
        <v>169</v>
      </c>
      <c r="D480" s="3" t="s">
        <v>543</v>
      </c>
      <c r="E480" s="40" t="s">
        <v>1396</v>
      </c>
      <c r="F480" s="4">
        <v>4800</v>
      </c>
      <c r="G480" s="5" t="s">
        <v>1067</v>
      </c>
      <c r="H480" s="6" t="s">
        <v>81</v>
      </c>
      <c r="I480" s="3" t="s">
        <v>19</v>
      </c>
      <c r="J480" s="8" t="s">
        <v>3</v>
      </c>
      <c r="K480" s="3" t="s">
        <v>1156</v>
      </c>
      <c r="L480" s="3"/>
    </row>
    <row r="481" spans="2:12" ht="45" x14ac:dyDescent="0.25">
      <c r="B481" s="1">
        <v>491</v>
      </c>
      <c r="C481" s="3" t="s">
        <v>979</v>
      </c>
      <c r="D481" s="3" t="s">
        <v>89</v>
      </c>
      <c r="E481" s="40" t="s">
        <v>1374</v>
      </c>
      <c r="F481" s="4">
        <v>480</v>
      </c>
      <c r="G481" s="5" t="s">
        <v>1067</v>
      </c>
      <c r="H481" s="6" t="s">
        <v>81</v>
      </c>
      <c r="I481" s="3" t="s">
        <v>19</v>
      </c>
      <c r="J481" s="8" t="s">
        <v>3</v>
      </c>
      <c r="K481" s="3" t="s">
        <v>1157</v>
      </c>
      <c r="L481" s="3"/>
    </row>
    <row r="482" spans="2:12" ht="45" x14ac:dyDescent="0.25">
      <c r="B482" s="1">
        <v>492</v>
      </c>
      <c r="C482" s="3" t="s">
        <v>980</v>
      </c>
      <c r="D482" s="3" t="s">
        <v>89</v>
      </c>
      <c r="E482" s="40">
        <v>332</v>
      </c>
      <c r="F482" s="4">
        <v>480</v>
      </c>
      <c r="G482" s="5" t="s">
        <v>1067</v>
      </c>
      <c r="H482" s="6" t="s">
        <v>81</v>
      </c>
      <c r="I482" s="3" t="s">
        <v>19</v>
      </c>
      <c r="J482" s="8" t="s">
        <v>3</v>
      </c>
      <c r="K482" s="3" t="s">
        <v>1158</v>
      </c>
      <c r="L482" s="3"/>
    </row>
    <row r="483" spans="2:12" ht="45" x14ac:dyDescent="0.25">
      <c r="B483" s="3">
        <v>493</v>
      </c>
      <c r="C483" s="3" t="s">
        <v>981</v>
      </c>
      <c r="D483" s="3" t="s">
        <v>89</v>
      </c>
      <c r="E483" s="40" t="s">
        <v>1356</v>
      </c>
      <c r="F483" s="4">
        <v>600</v>
      </c>
      <c r="G483" s="5" t="s">
        <v>1067</v>
      </c>
      <c r="H483" s="6" t="s">
        <v>81</v>
      </c>
      <c r="I483" s="3" t="s">
        <v>19</v>
      </c>
      <c r="J483" s="8" t="s">
        <v>3</v>
      </c>
      <c r="K483" s="3" t="s">
        <v>1159</v>
      </c>
      <c r="L483" s="3"/>
    </row>
    <row r="484" spans="2:12" ht="45" x14ac:dyDescent="0.25">
      <c r="B484" s="3">
        <v>494</v>
      </c>
      <c r="C484" s="3" t="s">
        <v>981</v>
      </c>
      <c r="D484" s="3" t="s">
        <v>5</v>
      </c>
      <c r="E484" s="40">
        <v>640</v>
      </c>
      <c r="F484" s="4">
        <v>640</v>
      </c>
      <c r="G484" s="5" t="s">
        <v>1067</v>
      </c>
      <c r="H484" s="6" t="s">
        <v>81</v>
      </c>
      <c r="I484" s="3" t="s">
        <v>19</v>
      </c>
      <c r="J484" s="8" t="s">
        <v>3</v>
      </c>
      <c r="K484" s="3" t="s">
        <v>1160</v>
      </c>
      <c r="L484" s="3"/>
    </row>
    <row r="485" spans="2:12" ht="45" x14ac:dyDescent="0.25">
      <c r="B485" s="1">
        <v>495</v>
      </c>
      <c r="C485" s="3" t="s">
        <v>967</v>
      </c>
      <c r="D485" s="3" t="s">
        <v>5</v>
      </c>
      <c r="E485" s="40" t="s">
        <v>1437</v>
      </c>
      <c r="F485" s="4">
        <v>5100</v>
      </c>
      <c r="G485" s="5" t="s">
        <v>1067</v>
      </c>
      <c r="H485" s="6" t="s">
        <v>81</v>
      </c>
      <c r="I485" s="3" t="s">
        <v>19</v>
      </c>
      <c r="J485" s="8" t="s">
        <v>3</v>
      </c>
      <c r="K485" s="3" t="s">
        <v>1161</v>
      </c>
      <c r="L485" s="3"/>
    </row>
    <row r="486" spans="2:12" ht="45" x14ac:dyDescent="0.25">
      <c r="B486" s="1">
        <v>496</v>
      </c>
      <c r="C486" s="3" t="s">
        <v>801</v>
      </c>
      <c r="D486" s="3" t="s">
        <v>89</v>
      </c>
      <c r="E486" s="40" t="s">
        <v>1357</v>
      </c>
      <c r="F486" s="4">
        <v>480</v>
      </c>
      <c r="G486" s="5" t="s">
        <v>1067</v>
      </c>
      <c r="H486" s="6" t="s">
        <v>81</v>
      </c>
      <c r="I486" s="3" t="s">
        <v>19</v>
      </c>
      <c r="J486" s="8" t="s">
        <v>3</v>
      </c>
      <c r="K486" s="3" t="s">
        <v>1162</v>
      </c>
      <c r="L486" s="3"/>
    </row>
    <row r="487" spans="2:12" ht="45" x14ac:dyDescent="0.25">
      <c r="B487" s="3">
        <v>497</v>
      </c>
      <c r="C487" s="3" t="s">
        <v>645</v>
      </c>
      <c r="D487" s="3" t="s">
        <v>89</v>
      </c>
      <c r="E487" s="40" t="s">
        <v>1361</v>
      </c>
      <c r="F487" s="4">
        <v>600</v>
      </c>
      <c r="G487" s="5" t="s">
        <v>1067</v>
      </c>
      <c r="H487" s="6" t="s">
        <v>81</v>
      </c>
      <c r="I487" s="3" t="s">
        <v>19</v>
      </c>
      <c r="J487" s="8" t="s">
        <v>3</v>
      </c>
      <c r="K487" s="3" t="s">
        <v>1163</v>
      </c>
      <c r="L487" s="3"/>
    </row>
    <row r="488" spans="2:12" ht="45" x14ac:dyDescent="0.25">
      <c r="B488" s="3">
        <v>498</v>
      </c>
      <c r="C488" s="3" t="s">
        <v>982</v>
      </c>
      <c r="D488" s="3" t="s">
        <v>89</v>
      </c>
      <c r="E488" s="40" t="s">
        <v>1341</v>
      </c>
      <c r="F488" s="4">
        <v>1200</v>
      </c>
      <c r="G488" s="5" t="s">
        <v>1067</v>
      </c>
      <c r="H488" s="6" t="s">
        <v>81</v>
      </c>
      <c r="I488" s="3" t="s">
        <v>19</v>
      </c>
      <c r="J488" s="8" t="s">
        <v>3</v>
      </c>
      <c r="K488" s="3" t="s">
        <v>1068</v>
      </c>
      <c r="L488" s="3"/>
    </row>
    <row r="489" spans="2:12" ht="45" x14ac:dyDescent="0.25">
      <c r="B489" s="1">
        <v>499</v>
      </c>
      <c r="C489" s="3" t="s">
        <v>983</v>
      </c>
      <c r="D489" s="3" t="s">
        <v>89</v>
      </c>
      <c r="E489" s="40" t="s">
        <v>1343</v>
      </c>
      <c r="F489" s="4">
        <v>1200</v>
      </c>
      <c r="G489" s="5" t="s">
        <v>1067</v>
      </c>
      <c r="H489" s="6" t="s">
        <v>81</v>
      </c>
      <c r="I489" s="3" t="s">
        <v>19</v>
      </c>
      <c r="J489" s="8" t="s">
        <v>3</v>
      </c>
      <c r="K489" s="3" t="s">
        <v>1069</v>
      </c>
      <c r="L489" s="3"/>
    </row>
    <row r="490" spans="2:12" ht="45" x14ac:dyDescent="0.25">
      <c r="B490" s="1">
        <v>500</v>
      </c>
      <c r="C490" s="3" t="s">
        <v>984</v>
      </c>
      <c r="D490" s="3" t="s">
        <v>89</v>
      </c>
      <c r="E490" s="40" t="s">
        <v>1444</v>
      </c>
      <c r="F490" s="4">
        <v>1500</v>
      </c>
      <c r="G490" s="5" t="s">
        <v>1067</v>
      </c>
      <c r="H490" s="6" t="s">
        <v>81</v>
      </c>
      <c r="I490" s="3" t="s">
        <v>19</v>
      </c>
      <c r="J490" s="8" t="s">
        <v>3</v>
      </c>
      <c r="K490" s="3" t="s">
        <v>1070</v>
      </c>
      <c r="L490" s="3"/>
    </row>
    <row r="491" spans="2:12" ht="45" x14ac:dyDescent="0.25">
      <c r="B491" s="3">
        <v>501</v>
      </c>
      <c r="C491" s="3" t="s">
        <v>985</v>
      </c>
      <c r="D491" s="3" t="s">
        <v>83</v>
      </c>
      <c r="E491" s="40" t="s">
        <v>1424</v>
      </c>
      <c r="F491" s="4">
        <v>3270</v>
      </c>
      <c r="G491" s="5" t="s">
        <v>1067</v>
      </c>
      <c r="H491" s="6" t="s">
        <v>81</v>
      </c>
      <c r="I491" s="3" t="s">
        <v>19</v>
      </c>
      <c r="J491" s="8" t="s">
        <v>3</v>
      </c>
      <c r="K491" s="3" t="s">
        <v>1164</v>
      </c>
      <c r="L491" s="3"/>
    </row>
    <row r="492" spans="2:12" ht="45" x14ac:dyDescent="0.25">
      <c r="B492" s="3">
        <v>502</v>
      </c>
      <c r="C492" s="3" t="s">
        <v>986</v>
      </c>
      <c r="D492" s="3" t="s">
        <v>543</v>
      </c>
      <c r="E492" s="40" t="s">
        <v>1428</v>
      </c>
      <c r="F492" s="4">
        <v>6700</v>
      </c>
      <c r="G492" s="5" t="s">
        <v>1067</v>
      </c>
      <c r="H492" s="6" t="s">
        <v>81</v>
      </c>
      <c r="I492" s="3" t="s">
        <v>19</v>
      </c>
      <c r="J492" s="8" t="s">
        <v>3</v>
      </c>
      <c r="K492" s="3" t="s">
        <v>1165</v>
      </c>
      <c r="L492" s="3"/>
    </row>
    <row r="493" spans="2:12" ht="45" x14ac:dyDescent="0.25">
      <c r="B493" s="1">
        <v>503</v>
      </c>
      <c r="C493" s="3" t="s">
        <v>645</v>
      </c>
      <c r="D493" s="3" t="s">
        <v>89</v>
      </c>
      <c r="E493" s="40">
        <v>540.65</v>
      </c>
      <c r="F493" s="4">
        <v>550</v>
      </c>
      <c r="G493" s="5" t="s">
        <v>1067</v>
      </c>
      <c r="H493" s="6" t="s">
        <v>81</v>
      </c>
      <c r="I493" s="3" t="s">
        <v>19</v>
      </c>
      <c r="J493" s="8" t="s">
        <v>3</v>
      </c>
      <c r="K493" s="3" t="s">
        <v>1166</v>
      </c>
      <c r="L493" s="3"/>
    </row>
    <row r="494" spans="2:12" ht="45" x14ac:dyDescent="0.25">
      <c r="B494" s="1">
        <v>504</v>
      </c>
      <c r="C494" s="3" t="s">
        <v>979</v>
      </c>
      <c r="D494" s="3" t="s">
        <v>89</v>
      </c>
      <c r="E494" s="40" t="s">
        <v>1395</v>
      </c>
      <c r="F494" s="4">
        <v>500</v>
      </c>
      <c r="G494" s="5" t="s">
        <v>1067</v>
      </c>
      <c r="H494" s="6" t="s">
        <v>81</v>
      </c>
      <c r="I494" s="3" t="s">
        <v>19</v>
      </c>
      <c r="J494" s="8" t="s">
        <v>3</v>
      </c>
      <c r="K494" s="3" t="s">
        <v>1167</v>
      </c>
      <c r="L494" s="3"/>
    </row>
    <row r="495" spans="2:12" ht="45" x14ac:dyDescent="0.25">
      <c r="B495" s="3">
        <v>505</v>
      </c>
      <c r="C495" s="3" t="s">
        <v>987</v>
      </c>
      <c r="D495" s="3" t="s">
        <v>89</v>
      </c>
      <c r="E495" s="40" t="s">
        <v>1342</v>
      </c>
      <c r="F495" s="4">
        <v>1500</v>
      </c>
      <c r="G495" s="5" t="s">
        <v>1067</v>
      </c>
      <c r="H495" s="6" t="s">
        <v>81</v>
      </c>
      <c r="I495" s="3" t="s">
        <v>19</v>
      </c>
      <c r="J495" s="8" t="s">
        <v>3</v>
      </c>
      <c r="K495" s="3" t="s">
        <v>1071</v>
      </c>
      <c r="L495" s="3"/>
    </row>
    <row r="496" spans="2:12" ht="45" x14ac:dyDescent="0.25">
      <c r="B496" s="3">
        <v>506</v>
      </c>
      <c r="C496" s="3" t="s">
        <v>169</v>
      </c>
      <c r="D496" s="3" t="s">
        <v>543</v>
      </c>
      <c r="E496" s="40" t="s">
        <v>1333</v>
      </c>
      <c r="F496" s="4">
        <v>1700</v>
      </c>
      <c r="G496" s="5" t="s">
        <v>1067</v>
      </c>
      <c r="H496" s="6" t="s">
        <v>81</v>
      </c>
      <c r="I496" s="3" t="s">
        <v>19</v>
      </c>
      <c r="J496" s="8" t="s">
        <v>3</v>
      </c>
      <c r="K496" s="3" t="s">
        <v>1168</v>
      </c>
      <c r="L496" s="3"/>
    </row>
    <row r="497" spans="2:12" ht="45" x14ac:dyDescent="0.25">
      <c r="B497" s="1">
        <v>507</v>
      </c>
      <c r="C497" s="3" t="s">
        <v>988</v>
      </c>
      <c r="D497" s="3" t="s">
        <v>89</v>
      </c>
      <c r="E497" s="40" t="s">
        <v>1350</v>
      </c>
      <c r="F497" s="4">
        <v>1920</v>
      </c>
      <c r="G497" s="5" t="s">
        <v>1067</v>
      </c>
      <c r="H497" s="6" t="s">
        <v>81</v>
      </c>
      <c r="I497" s="3" t="s">
        <v>19</v>
      </c>
      <c r="J497" s="8" t="s">
        <v>3</v>
      </c>
      <c r="K497" s="3" t="s">
        <v>1169</v>
      </c>
      <c r="L497" s="3"/>
    </row>
    <row r="498" spans="2:12" ht="45" x14ac:dyDescent="0.25">
      <c r="B498" s="1">
        <v>508</v>
      </c>
      <c r="C498" s="3" t="s">
        <v>989</v>
      </c>
      <c r="D498" s="3" t="s">
        <v>89</v>
      </c>
      <c r="E498" s="40">
        <v>403.92</v>
      </c>
      <c r="F498" s="4">
        <v>1600</v>
      </c>
      <c r="G498" s="5" t="s">
        <v>1067</v>
      </c>
      <c r="H498" s="6" t="s">
        <v>81</v>
      </c>
      <c r="I498" s="3" t="s">
        <v>19</v>
      </c>
      <c r="J498" s="8" t="s">
        <v>3</v>
      </c>
      <c r="K498" s="3" t="s">
        <v>1170</v>
      </c>
      <c r="L498" s="3"/>
    </row>
    <row r="499" spans="2:12" ht="101.25" x14ac:dyDescent="0.25">
      <c r="B499" s="3">
        <v>509</v>
      </c>
      <c r="C499" s="3" t="s">
        <v>990</v>
      </c>
      <c r="D499" s="3" t="s">
        <v>991</v>
      </c>
      <c r="E499" s="40" t="s">
        <v>1394</v>
      </c>
      <c r="F499" s="4">
        <v>281.25</v>
      </c>
      <c r="G499" s="5" t="s">
        <v>1067</v>
      </c>
      <c r="H499" s="6" t="s">
        <v>81</v>
      </c>
      <c r="I499" s="3" t="s">
        <v>19</v>
      </c>
      <c r="J499" s="10" t="s">
        <v>566</v>
      </c>
      <c r="K499" s="3" t="s">
        <v>1072</v>
      </c>
      <c r="L499" s="3"/>
    </row>
    <row r="500" spans="2:12" ht="45" x14ac:dyDescent="0.25">
      <c r="B500" s="3">
        <v>510</v>
      </c>
      <c r="C500" s="3" t="s">
        <v>984</v>
      </c>
      <c r="D500" s="3" t="s">
        <v>5</v>
      </c>
      <c r="E500" s="40" t="s">
        <v>576</v>
      </c>
      <c r="F500" s="4" t="s">
        <v>576</v>
      </c>
      <c r="G500" s="5" t="s">
        <v>1067</v>
      </c>
      <c r="H500" s="6" t="s">
        <v>81</v>
      </c>
      <c r="I500" s="3" t="s">
        <v>19</v>
      </c>
      <c r="J500" s="8" t="s">
        <v>3</v>
      </c>
      <c r="K500" s="3" t="s">
        <v>1073</v>
      </c>
      <c r="L500" s="3"/>
    </row>
    <row r="501" spans="2:12" ht="45" x14ac:dyDescent="0.25">
      <c r="B501" s="1">
        <v>511</v>
      </c>
      <c r="C501" s="3" t="s">
        <v>789</v>
      </c>
      <c r="D501" s="3" t="s">
        <v>83</v>
      </c>
      <c r="E501" s="40" t="s">
        <v>1363</v>
      </c>
      <c r="F501" s="4">
        <v>1875</v>
      </c>
      <c r="G501" s="5" t="s">
        <v>1067</v>
      </c>
      <c r="H501" s="6" t="s">
        <v>81</v>
      </c>
      <c r="I501" s="3" t="s">
        <v>19</v>
      </c>
      <c r="J501" s="8" t="s">
        <v>3</v>
      </c>
      <c r="K501" s="3" t="s">
        <v>1171</v>
      </c>
      <c r="L501" s="3"/>
    </row>
    <row r="502" spans="2:12" ht="45" x14ac:dyDescent="0.25">
      <c r="B502" s="1">
        <v>512</v>
      </c>
      <c r="C502" s="3" t="s">
        <v>925</v>
      </c>
      <c r="D502" s="3" t="s">
        <v>104</v>
      </c>
      <c r="E502" s="40" t="s">
        <v>1372</v>
      </c>
      <c r="F502" s="4">
        <v>7720</v>
      </c>
      <c r="G502" s="5" t="s">
        <v>1067</v>
      </c>
      <c r="H502" s="6" t="s">
        <v>81</v>
      </c>
      <c r="I502" s="3" t="s">
        <v>19</v>
      </c>
      <c r="J502" s="8" t="s">
        <v>3</v>
      </c>
      <c r="K502" s="3" t="s">
        <v>1172</v>
      </c>
      <c r="L502" s="3"/>
    </row>
    <row r="503" spans="2:12" ht="45" x14ac:dyDescent="0.25">
      <c r="B503" s="3">
        <v>513</v>
      </c>
      <c r="C503" s="3" t="s">
        <v>623</v>
      </c>
      <c r="D503" s="3" t="s">
        <v>104</v>
      </c>
      <c r="E503" s="40" t="s">
        <v>1371</v>
      </c>
      <c r="F503" s="4">
        <v>2902</v>
      </c>
      <c r="G503" s="5" t="s">
        <v>1067</v>
      </c>
      <c r="H503" s="6" t="s">
        <v>81</v>
      </c>
      <c r="I503" s="3" t="s">
        <v>19</v>
      </c>
      <c r="J503" s="8" t="s">
        <v>3</v>
      </c>
      <c r="K503" s="3" t="s">
        <v>1173</v>
      </c>
      <c r="L503" s="3"/>
    </row>
    <row r="504" spans="2:12" ht="45" x14ac:dyDescent="0.25">
      <c r="B504" s="3">
        <v>514</v>
      </c>
      <c r="C504" s="3" t="s">
        <v>624</v>
      </c>
      <c r="D504" s="3" t="s">
        <v>104</v>
      </c>
      <c r="E504" s="40" t="s">
        <v>1370</v>
      </c>
      <c r="F504" s="4">
        <v>8629.1</v>
      </c>
      <c r="G504" s="5" t="s">
        <v>1067</v>
      </c>
      <c r="H504" s="6" t="s">
        <v>81</v>
      </c>
      <c r="I504" s="3" t="s">
        <v>19</v>
      </c>
      <c r="J504" s="8" t="s">
        <v>3</v>
      </c>
      <c r="K504" s="3" t="s">
        <v>1174</v>
      </c>
      <c r="L504" s="3"/>
    </row>
    <row r="505" spans="2:12" ht="45" x14ac:dyDescent="0.25">
      <c r="B505" s="1">
        <v>515</v>
      </c>
      <c r="C505" s="3" t="s">
        <v>925</v>
      </c>
      <c r="D505" s="3" t="s">
        <v>104</v>
      </c>
      <c r="E505" s="40" t="s">
        <v>1373</v>
      </c>
      <c r="F505" s="4" t="s">
        <v>1373</v>
      </c>
      <c r="G505" s="5" t="s">
        <v>1067</v>
      </c>
      <c r="H505" s="6" t="s">
        <v>81</v>
      </c>
      <c r="I505" s="3" t="s">
        <v>19</v>
      </c>
      <c r="J505" s="8" t="s">
        <v>3</v>
      </c>
      <c r="K505" s="3" t="s">
        <v>1175</v>
      </c>
      <c r="L505" s="3"/>
    </row>
    <row r="506" spans="2:12" ht="45" x14ac:dyDescent="0.2">
      <c r="B506" s="1">
        <v>516</v>
      </c>
      <c r="C506" s="3" t="s">
        <v>992</v>
      </c>
      <c r="D506" s="3" t="s">
        <v>993</v>
      </c>
      <c r="E506" s="40" t="s">
        <v>1422</v>
      </c>
      <c r="F506" s="4">
        <v>54.02</v>
      </c>
      <c r="G506" s="5" t="s">
        <v>1074</v>
      </c>
      <c r="H506" s="5" t="s">
        <v>81</v>
      </c>
      <c r="I506" s="3" t="s">
        <v>19</v>
      </c>
      <c r="J506" s="10" t="s">
        <v>11</v>
      </c>
      <c r="K506" s="64" t="s">
        <v>1178</v>
      </c>
      <c r="L506" s="3"/>
    </row>
    <row r="507" spans="2:12" ht="101.25" x14ac:dyDescent="0.25">
      <c r="B507" s="3">
        <v>517</v>
      </c>
      <c r="C507" s="3" t="s">
        <v>650</v>
      </c>
      <c r="D507" s="3" t="s">
        <v>991</v>
      </c>
      <c r="E507" s="40">
        <f>55 +40+45+720+65+985+50+1155+417+15+3322+79.6+208+15+142</f>
        <v>7313.6</v>
      </c>
      <c r="F507" s="4">
        <v>15000</v>
      </c>
      <c r="G507" s="5" t="s">
        <v>1074</v>
      </c>
      <c r="H507" s="5" t="s">
        <v>81</v>
      </c>
      <c r="I507" s="3" t="s">
        <v>19</v>
      </c>
      <c r="J507" s="10" t="s">
        <v>566</v>
      </c>
      <c r="K507" s="65" t="s">
        <v>1179</v>
      </c>
      <c r="L507" s="3"/>
    </row>
    <row r="508" spans="2:12" ht="45" x14ac:dyDescent="0.25">
      <c r="B508" s="1">
        <v>3</v>
      </c>
      <c r="C508" s="3" t="s">
        <v>133</v>
      </c>
      <c r="D508" s="3" t="s">
        <v>5</v>
      </c>
      <c r="E508" s="40" t="s">
        <v>1378</v>
      </c>
      <c r="F508" s="4">
        <v>55242.39</v>
      </c>
      <c r="G508" s="5" t="s">
        <v>1240</v>
      </c>
      <c r="H508" s="6" t="s">
        <v>81</v>
      </c>
      <c r="I508" s="3" t="s">
        <v>19</v>
      </c>
      <c r="J508" s="8" t="s">
        <v>3</v>
      </c>
      <c r="K508" s="3" t="s">
        <v>1176</v>
      </c>
      <c r="L508" s="3"/>
    </row>
    <row r="509" spans="2:12" ht="45" x14ac:dyDescent="0.25">
      <c r="B509" s="1">
        <v>4</v>
      </c>
      <c r="C509" s="3" t="s">
        <v>1184</v>
      </c>
      <c r="D509" s="3" t="s">
        <v>89</v>
      </c>
      <c r="E509" s="40">
        <v>819.28</v>
      </c>
      <c r="F509" s="4">
        <v>819.28</v>
      </c>
      <c r="G509" s="5" t="s">
        <v>1240</v>
      </c>
      <c r="H509" s="6" t="s">
        <v>81</v>
      </c>
      <c r="I509" s="3" t="s">
        <v>19</v>
      </c>
      <c r="J509" s="8" t="s">
        <v>3</v>
      </c>
      <c r="K509" s="3" t="s">
        <v>1177</v>
      </c>
      <c r="L509" s="3"/>
    </row>
    <row r="510" spans="2:12" ht="45" x14ac:dyDescent="0.25">
      <c r="B510" s="3">
        <v>518</v>
      </c>
      <c r="C510" s="3" t="s">
        <v>967</v>
      </c>
      <c r="D510" s="3" t="s">
        <v>5</v>
      </c>
      <c r="E510" s="40">
        <v>656.29</v>
      </c>
      <c r="F510" s="4">
        <v>656.29</v>
      </c>
      <c r="G510" s="5" t="s">
        <v>1074</v>
      </c>
      <c r="H510" s="5" t="s">
        <v>81</v>
      </c>
      <c r="I510" s="3" t="s">
        <v>19</v>
      </c>
      <c r="J510" s="8" t="s">
        <v>3</v>
      </c>
      <c r="K510" s="3" t="s">
        <v>1180</v>
      </c>
      <c r="L510" s="3"/>
    </row>
    <row r="511" spans="2:12" ht="45" x14ac:dyDescent="0.25">
      <c r="B511" s="1">
        <v>519</v>
      </c>
      <c r="C511" s="3" t="s">
        <v>1185</v>
      </c>
      <c r="D511" s="3" t="s">
        <v>5</v>
      </c>
      <c r="E511" s="40" t="s">
        <v>1383</v>
      </c>
      <c r="F511" s="4">
        <v>21442.5</v>
      </c>
      <c r="G511" s="5" t="s">
        <v>1074</v>
      </c>
      <c r="H511" s="5" t="s">
        <v>81</v>
      </c>
      <c r="I511" s="3" t="s">
        <v>19</v>
      </c>
      <c r="J511" s="8" t="s">
        <v>3</v>
      </c>
      <c r="K511" s="3" t="s">
        <v>1181</v>
      </c>
      <c r="L511" s="3"/>
    </row>
    <row r="512" spans="2:12" ht="45" x14ac:dyDescent="0.25">
      <c r="B512" s="1">
        <v>520</v>
      </c>
      <c r="C512" s="3" t="s">
        <v>1185</v>
      </c>
      <c r="D512" s="3" t="s">
        <v>89</v>
      </c>
      <c r="E512" s="40" t="s">
        <v>1382</v>
      </c>
      <c r="F512" s="4">
        <v>13260</v>
      </c>
      <c r="G512" s="5" t="s">
        <v>1074</v>
      </c>
      <c r="H512" s="5" t="s">
        <v>81</v>
      </c>
      <c r="I512" s="3" t="s">
        <v>19</v>
      </c>
      <c r="J512" s="8" t="s">
        <v>3</v>
      </c>
      <c r="K512" s="3" t="s">
        <v>1182</v>
      </c>
      <c r="L512" s="3"/>
    </row>
    <row r="513" spans="2:12" ht="45" x14ac:dyDescent="0.25">
      <c r="B513" s="3">
        <v>521</v>
      </c>
      <c r="C513" s="3" t="s">
        <v>623</v>
      </c>
      <c r="D513" s="3" t="s">
        <v>104</v>
      </c>
      <c r="E513" s="40" t="s">
        <v>579</v>
      </c>
      <c r="F513" s="4">
        <v>2000</v>
      </c>
      <c r="G513" s="5" t="s">
        <v>1074</v>
      </c>
      <c r="H513" s="5" t="s">
        <v>81</v>
      </c>
      <c r="I513" s="3" t="s">
        <v>19</v>
      </c>
      <c r="J513" s="8" t="s">
        <v>3</v>
      </c>
      <c r="K513" s="3" t="s">
        <v>1183</v>
      </c>
      <c r="L513" s="3"/>
    </row>
    <row r="514" spans="2:12" ht="101.25" x14ac:dyDescent="0.25">
      <c r="B514" s="1">
        <v>523</v>
      </c>
      <c r="C514" s="3" t="s">
        <v>1186</v>
      </c>
      <c r="D514" s="3" t="s">
        <v>1187</v>
      </c>
      <c r="E514" s="40" t="s">
        <v>1362</v>
      </c>
      <c r="F514" s="4">
        <v>4282.5</v>
      </c>
      <c r="G514" s="5" t="s">
        <v>1241</v>
      </c>
      <c r="H514" s="5" t="s">
        <v>81</v>
      </c>
      <c r="I514" s="3" t="s">
        <v>19</v>
      </c>
      <c r="J514" s="10" t="s">
        <v>566</v>
      </c>
      <c r="K514" s="3" t="s">
        <v>1242</v>
      </c>
      <c r="L514" s="3"/>
    </row>
    <row r="515" spans="2:12" ht="45" x14ac:dyDescent="0.25">
      <c r="B515" s="3">
        <v>525</v>
      </c>
      <c r="C515" s="3" t="s">
        <v>393</v>
      </c>
      <c r="D515" s="3" t="s">
        <v>83</v>
      </c>
      <c r="E515" s="40" t="s">
        <v>1384</v>
      </c>
      <c r="F515" s="4">
        <v>1782.5</v>
      </c>
      <c r="G515" s="5" t="s">
        <v>1241</v>
      </c>
      <c r="H515" s="5" t="s">
        <v>81</v>
      </c>
      <c r="I515" s="3" t="s">
        <v>19</v>
      </c>
      <c r="J515" s="8" t="s">
        <v>3</v>
      </c>
      <c r="K515" s="3" t="s">
        <v>1243</v>
      </c>
      <c r="L515" s="3"/>
    </row>
    <row r="516" spans="2:12" ht="45" x14ac:dyDescent="0.25">
      <c r="B516" s="3">
        <v>526</v>
      </c>
      <c r="C516" s="3" t="s">
        <v>444</v>
      </c>
      <c r="D516" s="3" t="s">
        <v>543</v>
      </c>
      <c r="E516" s="40" t="s">
        <v>1407</v>
      </c>
      <c r="F516" s="4">
        <v>4320</v>
      </c>
      <c r="G516" s="5" t="s">
        <v>1241</v>
      </c>
      <c r="H516" s="5" t="s">
        <v>81</v>
      </c>
      <c r="I516" s="3" t="s">
        <v>19</v>
      </c>
      <c r="J516" s="8" t="s">
        <v>3</v>
      </c>
      <c r="K516" s="3" t="s">
        <v>1244</v>
      </c>
      <c r="L516" s="3"/>
    </row>
    <row r="517" spans="2:12" ht="45" x14ac:dyDescent="0.25">
      <c r="B517" s="1">
        <v>527</v>
      </c>
      <c r="C517" s="3" t="s">
        <v>1188</v>
      </c>
      <c r="D517" s="3" t="s">
        <v>89</v>
      </c>
      <c r="E517" s="40">
        <v>295.5</v>
      </c>
      <c r="F517" s="4">
        <v>440</v>
      </c>
      <c r="G517" s="5" t="s">
        <v>1241</v>
      </c>
      <c r="H517" s="5" t="s">
        <v>81</v>
      </c>
      <c r="I517" s="3" t="s">
        <v>19</v>
      </c>
      <c r="J517" s="8" t="s">
        <v>3</v>
      </c>
      <c r="K517" s="3" t="s">
        <v>1245</v>
      </c>
      <c r="L517" s="3"/>
    </row>
    <row r="518" spans="2:12" ht="45" x14ac:dyDescent="0.25">
      <c r="B518" s="1">
        <v>528</v>
      </c>
      <c r="C518" s="3" t="s">
        <v>1189</v>
      </c>
      <c r="D518" s="3" t="s">
        <v>89</v>
      </c>
      <c r="E518" s="40" t="s">
        <v>1408</v>
      </c>
      <c r="F518" s="4">
        <v>440</v>
      </c>
      <c r="G518" s="5" t="s">
        <v>1241</v>
      </c>
      <c r="H518" s="5" t="s">
        <v>81</v>
      </c>
      <c r="I518" s="3" t="s">
        <v>19</v>
      </c>
      <c r="J518" s="8" t="s">
        <v>3</v>
      </c>
      <c r="K518" s="3" t="s">
        <v>1246</v>
      </c>
      <c r="L518" s="3"/>
    </row>
    <row r="519" spans="2:12" ht="45" x14ac:dyDescent="0.25">
      <c r="B519" s="3">
        <v>529</v>
      </c>
      <c r="C519" s="3" t="s">
        <v>1190</v>
      </c>
      <c r="D519" s="3" t="s">
        <v>5</v>
      </c>
      <c r="E519" s="40" t="s">
        <v>888</v>
      </c>
      <c r="F519" s="4">
        <v>1200</v>
      </c>
      <c r="G519" s="5" t="s">
        <v>1241</v>
      </c>
      <c r="H519" s="5" t="s">
        <v>81</v>
      </c>
      <c r="I519" s="3" t="s">
        <v>19</v>
      </c>
      <c r="J519" s="8" t="s">
        <v>3</v>
      </c>
      <c r="K519" s="3" t="s">
        <v>1247</v>
      </c>
      <c r="L519" s="3"/>
    </row>
    <row r="520" spans="2:12" ht="45" x14ac:dyDescent="0.25">
      <c r="B520" s="3">
        <v>530</v>
      </c>
      <c r="C520" s="3" t="s">
        <v>1190</v>
      </c>
      <c r="D520" s="3" t="s">
        <v>89</v>
      </c>
      <c r="E520" s="40" t="s">
        <v>1414</v>
      </c>
      <c r="F520" s="4">
        <v>1100</v>
      </c>
      <c r="G520" s="5" t="s">
        <v>1241</v>
      </c>
      <c r="H520" s="5" t="s">
        <v>81</v>
      </c>
      <c r="I520" s="3" t="s">
        <v>19</v>
      </c>
      <c r="J520" s="8" t="s">
        <v>3</v>
      </c>
      <c r="K520" s="3" t="s">
        <v>1248</v>
      </c>
      <c r="L520" s="3"/>
    </row>
    <row r="521" spans="2:12" ht="45" x14ac:dyDescent="0.25">
      <c r="B521" s="1">
        <v>531</v>
      </c>
      <c r="C521" s="3" t="s">
        <v>949</v>
      </c>
      <c r="D521" s="3" t="s">
        <v>89</v>
      </c>
      <c r="E521" s="40">
        <v>440</v>
      </c>
      <c r="F521" s="4">
        <v>440</v>
      </c>
      <c r="G521" s="5" t="s">
        <v>1241</v>
      </c>
      <c r="H521" s="5" t="s">
        <v>81</v>
      </c>
      <c r="I521" s="3" t="s">
        <v>19</v>
      </c>
      <c r="J521" s="8" t="s">
        <v>3</v>
      </c>
      <c r="K521" s="3" t="s">
        <v>1249</v>
      </c>
      <c r="L521" s="3"/>
    </row>
    <row r="522" spans="2:12" ht="45" x14ac:dyDescent="0.25">
      <c r="B522" s="1">
        <v>532</v>
      </c>
      <c r="C522" s="3" t="s">
        <v>1191</v>
      </c>
      <c r="D522" s="3" t="s">
        <v>5</v>
      </c>
      <c r="E522" s="40" t="s">
        <v>1415</v>
      </c>
      <c r="F522" s="4">
        <v>5225</v>
      </c>
      <c r="G522" s="5" t="s">
        <v>1241</v>
      </c>
      <c r="H522" s="5" t="s">
        <v>81</v>
      </c>
      <c r="I522" s="3" t="s">
        <v>19</v>
      </c>
      <c r="J522" s="8" t="s">
        <v>3</v>
      </c>
      <c r="K522" s="3" t="s">
        <v>1250</v>
      </c>
      <c r="L522" s="3"/>
    </row>
    <row r="523" spans="2:12" ht="45" x14ac:dyDescent="0.25">
      <c r="B523" s="3">
        <v>533</v>
      </c>
      <c r="C523" s="3" t="s">
        <v>1191</v>
      </c>
      <c r="D523" s="3" t="s">
        <v>89</v>
      </c>
      <c r="E523" s="40">
        <v>990</v>
      </c>
      <c r="F523" s="4">
        <v>1100</v>
      </c>
      <c r="G523" s="5" t="s">
        <v>1241</v>
      </c>
      <c r="H523" s="5" t="s">
        <v>81</v>
      </c>
      <c r="I523" s="3" t="s">
        <v>19</v>
      </c>
      <c r="J523" s="8" t="s">
        <v>3</v>
      </c>
      <c r="K523" s="3" t="s">
        <v>1251</v>
      </c>
      <c r="L523" s="3"/>
    </row>
    <row r="524" spans="2:12" ht="45" x14ac:dyDescent="0.25">
      <c r="B524" s="1">
        <v>535</v>
      </c>
      <c r="C524" s="3" t="s">
        <v>972</v>
      </c>
      <c r="D524" s="3" t="s">
        <v>89</v>
      </c>
      <c r="E524" s="40" t="s">
        <v>1375</v>
      </c>
      <c r="F524" s="4">
        <v>1600</v>
      </c>
      <c r="G524" s="5" t="s">
        <v>1241</v>
      </c>
      <c r="H524" s="5" t="s">
        <v>81</v>
      </c>
      <c r="I524" s="3" t="s">
        <v>19</v>
      </c>
      <c r="J524" s="8" t="s">
        <v>3</v>
      </c>
      <c r="K524" s="3" t="s">
        <v>1252</v>
      </c>
      <c r="L524" s="3"/>
    </row>
    <row r="525" spans="2:12" ht="45" x14ac:dyDescent="0.25">
      <c r="B525" s="1">
        <v>536</v>
      </c>
      <c r="C525" s="3" t="s">
        <v>1192</v>
      </c>
      <c r="D525" s="3" t="s">
        <v>89</v>
      </c>
      <c r="E525" s="40" t="s">
        <v>1402</v>
      </c>
      <c r="F525" s="4">
        <v>182</v>
      </c>
      <c r="G525" s="5" t="s">
        <v>1241</v>
      </c>
      <c r="H525" s="5" t="s">
        <v>81</v>
      </c>
      <c r="I525" s="3" t="s">
        <v>19</v>
      </c>
      <c r="J525" s="8" t="s">
        <v>3</v>
      </c>
      <c r="K525" s="3" t="s">
        <v>1253</v>
      </c>
      <c r="L525" s="3"/>
    </row>
    <row r="526" spans="2:12" ht="45" x14ac:dyDescent="0.25">
      <c r="B526" s="3">
        <v>537</v>
      </c>
      <c r="C526" s="3" t="s">
        <v>628</v>
      </c>
      <c r="D526" s="3" t="s">
        <v>83</v>
      </c>
      <c r="E526" s="40" t="s">
        <v>1451</v>
      </c>
      <c r="F526" s="4">
        <v>5162.5</v>
      </c>
      <c r="G526" s="5" t="s">
        <v>1241</v>
      </c>
      <c r="H526" s="5" t="s">
        <v>81</v>
      </c>
      <c r="I526" s="3" t="s">
        <v>19</v>
      </c>
      <c r="J526" s="8" t="s">
        <v>3</v>
      </c>
      <c r="K526" s="3" t="s">
        <v>1254</v>
      </c>
      <c r="L526" s="3"/>
    </row>
    <row r="527" spans="2:12" ht="45" x14ac:dyDescent="0.25">
      <c r="B527" s="3">
        <v>538</v>
      </c>
      <c r="C527" s="3" t="s">
        <v>444</v>
      </c>
      <c r="D527" s="3" t="s">
        <v>543</v>
      </c>
      <c r="E527" s="40" t="s">
        <v>1452</v>
      </c>
      <c r="F527" s="4">
        <v>5950</v>
      </c>
      <c r="G527" s="5" t="s">
        <v>1241</v>
      </c>
      <c r="H527" s="5" t="s">
        <v>81</v>
      </c>
      <c r="I527" s="3" t="s">
        <v>19</v>
      </c>
      <c r="J527" s="8" t="s">
        <v>3</v>
      </c>
      <c r="K527" s="3" t="s">
        <v>1255</v>
      </c>
      <c r="L527" s="3"/>
    </row>
    <row r="528" spans="2:12" ht="45" x14ac:dyDescent="0.25">
      <c r="B528" s="1">
        <v>539</v>
      </c>
      <c r="C528" s="3" t="s">
        <v>890</v>
      </c>
      <c r="D528" s="3" t="s">
        <v>5</v>
      </c>
      <c r="E528" s="40">
        <v>599.16</v>
      </c>
      <c r="F528" s="4">
        <v>649</v>
      </c>
      <c r="G528" s="5" t="s">
        <v>1241</v>
      </c>
      <c r="H528" s="5" t="s">
        <v>81</v>
      </c>
      <c r="I528" s="3" t="s">
        <v>19</v>
      </c>
      <c r="J528" s="8" t="s">
        <v>3</v>
      </c>
      <c r="K528" s="3" t="s">
        <v>1256</v>
      </c>
      <c r="L528" s="3"/>
    </row>
    <row r="529" spans="2:12" ht="45" x14ac:dyDescent="0.25">
      <c r="B529" s="1">
        <v>540</v>
      </c>
      <c r="C529" s="3" t="s">
        <v>968</v>
      </c>
      <c r="D529" s="3" t="s">
        <v>5</v>
      </c>
      <c r="E529" s="40" t="s">
        <v>1425</v>
      </c>
      <c r="F529" s="4">
        <v>24381.75</v>
      </c>
      <c r="G529" s="5" t="s">
        <v>1241</v>
      </c>
      <c r="H529" s="5" t="s">
        <v>81</v>
      </c>
      <c r="I529" s="3" t="s">
        <v>19</v>
      </c>
      <c r="J529" s="8" t="s">
        <v>3</v>
      </c>
      <c r="K529" s="3" t="s">
        <v>1257</v>
      </c>
      <c r="L529" s="3"/>
    </row>
    <row r="530" spans="2:12" ht="101.25" x14ac:dyDescent="0.25">
      <c r="B530" s="3">
        <v>541</v>
      </c>
      <c r="C530" s="3" t="s">
        <v>1193</v>
      </c>
      <c r="D530" s="3" t="s">
        <v>1194</v>
      </c>
      <c r="E530" s="40">
        <f>10321.22+8601.02+6880.81</f>
        <v>25803.05</v>
      </c>
      <c r="F530" s="4">
        <v>25803.05</v>
      </c>
      <c r="G530" s="5" t="s">
        <v>1258</v>
      </c>
      <c r="H530" s="5" t="s">
        <v>81</v>
      </c>
      <c r="I530" s="3" t="s">
        <v>19</v>
      </c>
      <c r="J530" s="10" t="s">
        <v>1259</v>
      </c>
      <c r="K530" s="3" t="s">
        <v>1260</v>
      </c>
      <c r="L530" s="3"/>
    </row>
    <row r="531" spans="2:12" ht="78.75" x14ac:dyDescent="0.25">
      <c r="B531" s="3">
        <v>542</v>
      </c>
      <c r="C531" s="3" t="s">
        <v>1195</v>
      </c>
      <c r="D531" s="3" t="s">
        <v>1196</v>
      </c>
      <c r="E531" s="43">
        <v>114000</v>
      </c>
      <c r="F531" s="4">
        <v>114000</v>
      </c>
      <c r="G531" s="5" t="s">
        <v>1258</v>
      </c>
      <c r="H531" s="5" t="s">
        <v>81</v>
      </c>
      <c r="I531" s="3" t="s">
        <v>9</v>
      </c>
      <c r="J531" s="3" t="s">
        <v>1261</v>
      </c>
      <c r="K531" s="3"/>
      <c r="L531" s="3"/>
    </row>
    <row r="532" spans="2:12" ht="45" x14ac:dyDescent="0.25">
      <c r="B532" s="1">
        <v>543</v>
      </c>
      <c r="C532" s="3" t="s">
        <v>103</v>
      </c>
      <c r="D532" s="3" t="s">
        <v>104</v>
      </c>
      <c r="E532" s="40" t="s">
        <v>1403</v>
      </c>
      <c r="F532" s="4">
        <v>8100</v>
      </c>
      <c r="G532" s="5" t="s">
        <v>1258</v>
      </c>
      <c r="H532" s="5" t="s">
        <v>81</v>
      </c>
      <c r="I532" s="3" t="s">
        <v>19</v>
      </c>
      <c r="J532" s="8" t="s">
        <v>3</v>
      </c>
      <c r="K532" s="3" t="s">
        <v>1262</v>
      </c>
      <c r="L532" s="3"/>
    </row>
    <row r="533" spans="2:12" ht="45" x14ac:dyDescent="0.25">
      <c r="B533" s="1">
        <v>544</v>
      </c>
      <c r="C533" s="66" t="s">
        <v>624</v>
      </c>
      <c r="D533" s="3" t="s">
        <v>104</v>
      </c>
      <c r="E533" s="40" t="s">
        <v>1399</v>
      </c>
      <c r="F533" s="4">
        <v>3038.2</v>
      </c>
      <c r="G533" s="5" t="s">
        <v>1258</v>
      </c>
      <c r="H533" s="5" t="s">
        <v>81</v>
      </c>
      <c r="I533" s="3" t="s">
        <v>19</v>
      </c>
      <c r="J533" s="8" t="s">
        <v>3</v>
      </c>
      <c r="K533" s="3" t="s">
        <v>1263</v>
      </c>
      <c r="L533" s="3"/>
    </row>
    <row r="534" spans="2:12" ht="45" x14ac:dyDescent="0.25">
      <c r="B534" s="3">
        <v>545</v>
      </c>
      <c r="C534" s="3" t="s">
        <v>623</v>
      </c>
      <c r="D534" s="3" t="s">
        <v>104</v>
      </c>
      <c r="E534" s="40" t="s">
        <v>1405</v>
      </c>
      <c r="F534" s="4">
        <v>2660</v>
      </c>
      <c r="G534" s="5" t="s">
        <v>1258</v>
      </c>
      <c r="H534" s="5" t="s">
        <v>81</v>
      </c>
      <c r="I534" s="3" t="s">
        <v>19</v>
      </c>
      <c r="J534" s="8" t="s">
        <v>3</v>
      </c>
      <c r="K534" s="3" t="s">
        <v>1264</v>
      </c>
      <c r="L534" s="3"/>
    </row>
    <row r="535" spans="2:12" ht="45" x14ac:dyDescent="0.25">
      <c r="B535" s="3">
        <v>546</v>
      </c>
      <c r="C535" s="3" t="s">
        <v>103</v>
      </c>
      <c r="D535" s="3" t="s">
        <v>104</v>
      </c>
      <c r="E535" s="40" t="s">
        <v>1404</v>
      </c>
      <c r="F535" s="4">
        <v>18609.900000000001</v>
      </c>
      <c r="G535" s="5" t="s">
        <v>1258</v>
      </c>
      <c r="H535" s="5" t="s">
        <v>81</v>
      </c>
      <c r="I535" s="3" t="s">
        <v>19</v>
      </c>
      <c r="J535" s="8" t="s">
        <v>3</v>
      </c>
      <c r="K535" s="3" t="s">
        <v>1265</v>
      </c>
      <c r="L535" s="3"/>
    </row>
    <row r="536" spans="2:12" ht="45" x14ac:dyDescent="0.25">
      <c r="B536" s="1">
        <v>547</v>
      </c>
      <c r="C536" s="66" t="s">
        <v>645</v>
      </c>
      <c r="D536" s="3" t="s">
        <v>89</v>
      </c>
      <c r="E536" s="40" t="s">
        <v>1376</v>
      </c>
      <c r="F536" s="4">
        <v>720</v>
      </c>
      <c r="G536" s="5" t="s">
        <v>1266</v>
      </c>
      <c r="H536" s="6" t="s">
        <v>81</v>
      </c>
      <c r="I536" s="3" t="s">
        <v>19</v>
      </c>
      <c r="J536" s="8" t="s">
        <v>3</v>
      </c>
      <c r="K536" s="3" t="s">
        <v>1267</v>
      </c>
      <c r="L536" s="3"/>
    </row>
    <row r="537" spans="2:12" ht="45" x14ac:dyDescent="0.25">
      <c r="B537" s="1">
        <v>548</v>
      </c>
      <c r="C537" s="3" t="s">
        <v>1197</v>
      </c>
      <c r="D537" s="3" t="s">
        <v>89</v>
      </c>
      <c r="E537" s="40" t="s">
        <v>1445</v>
      </c>
      <c r="F537" s="4">
        <v>760</v>
      </c>
      <c r="G537" s="5" t="s">
        <v>1266</v>
      </c>
      <c r="H537" s="6" t="s">
        <v>81</v>
      </c>
      <c r="I537" s="3" t="s">
        <v>19</v>
      </c>
      <c r="J537" s="8" t="s">
        <v>3</v>
      </c>
      <c r="K537" s="3" t="s">
        <v>1268</v>
      </c>
      <c r="L537" s="3"/>
    </row>
    <row r="538" spans="2:12" ht="45" x14ac:dyDescent="0.25">
      <c r="B538" s="3">
        <v>549</v>
      </c>
      <c r="C538" s="3" t="s">
        <v>625</v>
      </c>
      <c r="D538" s="3" t="s">
        <v>5</v>
      </c>
      <c r="E538" s="40" t="s">
        <v>1412</v>
      </c>
      <c r="F538" s="4">
        <v>1440.64</v>
      </c>
      <c r="G538" s="5" t="s">
        <v>1266</v>
      </c>
      <c r="H538" s="6" t="s">
        <v>81</v>
      </c>
      <c r="I538" s="3" t="s">
        <v>19</v>
      </c>
      <c r="J538" s="8" t="s">
        <v>3</v>
      </c>
      <c r="K538" s="3" t="s">
        <v>1269</v>
      </c>
      <c r="L538" s="3"/>
    </row>
    <row r="539" spans="2:12" s="3" customFormat="1" ht="45" x14ac:dyDescent="0.25">
      <c r="B539" s="3">
        <v>550</v>
      </c>
      <c r="C539" s="3" t="s">
        <v>1198</v>
      </c>
      <c r="D539" s="3" t="s">
        <v>89</v>
      </c>
      <c r="E539" s="40" t="s">
        <v>1417</v>
      </c>
      <c r="F539" s="4">
        <v>400</v>
      </c>
      <c r="G539" s="5" t="s">
        <v>1266</v>
      </c>
      <c r="H539" s="6" t="s">
        <v>81</v>
      </c>
      <c r="I539" s="3" t="s">
        <v>19</v>
      </c>
      <c r="J539" s="8" t="s">
        <v>3</v>
      </c>
      <c r="K539" s="3" t="s">
        <v>1270</v>
      </c>
    </row>
    <row r="540" spans="2:12" ht="45" x14ac:dyDescent="0.25">
      <c r="B540" s="1">
        <v>551</v>
      </c>
      <c r="C540" s="3" t="s">
        <v>1199</v>
      </c>
      <c r="D540" s="3" t="s">
        <v>89</v>
      </c>
      <c r="E540" s="40" t="s">
        <v>1406</v>
      </c>
      <c r="F540" s="4">
        <v>5000</v>
      </c>
      <c r="G540" s="5" t="s">
        <v>1266</v>
      </c>
      <c r="H540" s="6" t="s">
        <v>81</v>
      </c>
      <c r="I540" s="3" t="s">
        <v>19</v>
      </c>
      <c r="J540" s="8" t="s">
        <v>3</v>
      </c>
      <c r="K540" s="3" t="s">
        <v>1271</v>
      </c>
      <c r="L540" s="3"/>
    </row>
    <row r="541" spans="2:12" ht="45" x14ac:dyDescent="0.25">
      <c r="B541" s="1">
        <v>552</v>
      </c>
      <c r="C541" s="3" t="s">
        <v>1200</v>
      </c>
      <c r="D541" s="3" t="s">
        <v>89</v>
      </c>
      <c r="E541" s="40" t="s">
        <v>1416</v>
      </c>
      <c r="F541" s="4">
        <v>480</v>
      </c>
      <c r="G541" s="5" t="s">
        <v>1266</v>
      </c>
      <c r="H541" s="6" t="s">
        <v>81</v>
      </c>
      <c r="I541" s="3" t="s">
        <v>19</v>
      </c>
      <c r="J541" s="8" t="s">
        <v>3</v>
      </c>
      <c r="K541" s="3" t="s">
        <v>1272</v>
      </c>
      <c r="L541" s="3"/>
    </row>
    <row r="542" spans="2:12" ht="45" x14ac:dyDescent="0.25">
      <c r="B542" s="3">
        <v>553</v>
      </c>
      <c r="C542" s="3" t="s">
        <v>444</v>
      </c>
      <c r="D542" s="3" t="s">
        <v>83</v>
      </c>
      <c r="E542" s="40" t="s">
        <v>1411</v>
      </c>
      <c r="F542" s="4">
        <v>2400</v>
      </c>
      <c r="G542" s="5" t="s">
        <v>1266</v>
      </c>
      <c r="H542" s="6" t="s">
        <v>81</v>
      </c>
      <c r="I542" s="3" t="s">
        <v>19</v>
      </c>
      <c r="J542" s="8" t="s">
        <v>3</v>
      </c>
      <c r="K542" s="3" t="s">
        <v>1273</v>
      </c>
      <c r="L542" s="3"/>
    </row>
    <row r="543" spans="2:12" ht="45" x14ac:dyDescent="0.25">
      <c r="B543" s="3">
        <v>554</v>
      </c>
      <c r="C543" s="3" t="s">
        <v>444</v>
      </c>
      <c r="D543" s="3" t="s">
        <v>543</v>
      </c>
      <c r="E543" s="40" t="s">
        <v>1409</v>
      </c>
      <c r="F543" s="4">
        <v>7550</v>
      </c>
      <c r="G543" s="5" t="s">
        <v>1266</v>
      </c>
      <c r="H543" s="6" t="s">
        <v>81</v>
      </c>
      <c r="I543" s="3" t="s">
        <v>19</v>
      </c>
      <c r="J543" s="8" t="s">
        <v>3</v>
      </c>
      <c r="K543" s="3" t="s">
        <v>1274</v>
      </c>
      <c r="L543" s="3"/>
    </row>
    <row r="544" spans="2:12" ht="45" x14ac:dyDescent="0.25">
      <c r="B544" s="1">
        <v>555</v>
      </c>
      <c r="C544" s="3" t="s">
        <v>1426</v>
      </c>
      <c r="D544" s="3" t="s">
        <v>1201</v>
      </c>
      <c r="E544" s="40" t="s">
        <v>1427</v>
      </c>
      <c r="F544" s="4">
        <v>7439.95</v>
      </c>
      <c r="G544" s="5" t="s">
        <v>1266</v>
      </c>
      <c r="H544" s="6" t="s">
        <v>81</v>
      </c>
      <c r="I544" s="3" t="s">
        <v>19</v>
      </c>
      <c r="J544" s="8" t="s">
        <v>3</v>
      </c>
      <c r="K544" s="3" t="s">
        <v>1275</v>
      </c>
      <c r="L544" s="3"/>
    </row>
    <row r="545" spans="2:12" ht="45" x14ac:dyDescent="0.25">
      <c r="B545" s="1">
        <v>556</v>
      </c>
      <c r="C545" s="3" t="s">
        <v>1202</v>
      </c>
      <c r="D545" s="3" t="s">
        <v>543</v>
      </c>
      <c r="E545" s="40" t="s">
        <v>1410</v>
      </c>
      <c r="F545" s="4">
        <v>3950</v>
      </c>
      <c r="G545" s="5" t="s">
        <v>1266</v>
      </c>
      <c r="H545" s="6" t="s">
        <v>81</v>
      </c>
      <c r="I545" s="3" t="s">
        <v>19</v>
      </c>
      <c r="J545" s="8" t="s">
        <v>3</v>
      </c>
      <c r="K545" s="3" t="s">
        <v>1276</v>
      </c>
      <c r="L545" s="3"/>
    </row>
    <row r="546" spans="2:12" ht="45" x14ac:dyDescent="0.25">
      <c r="B546" s="3">
        <v>558</v>
      </c>
      <c r="C546" s="3" t="s">
        <v>1203</v>
      </c>
      <c r="D546" s="3" t="s">
        <v>5</v>
      </c>
      <c r="E546" s="40">
        <v>303.36</v>
      </c>
      <c r="F546" s="4">
        <v>315</v>
      </c>
      <c r="G546" s="5" t="s">
        <v>1266</v>
      </c>
      <c r="H546" s="6" t="s">
        <v>81</v>
      </c>
      <c r="I546" s="3" t="s">
        <v>19</v>
      </c>
      <c r="J546" s="8" t="s">
        <v>3</v>
      </c>
      <c r="K546" s="3" t="s">
        <v>1277</v>
      </c>
      <c r="L546" s="3"/>
    </row>
    <row r="547" spans="2:12" ht="45" x14ac:dyDescent="0.25">
      <c r="B547" s="1">
        <v>559</v>
      </c>
      <c r="C547" s="3" t="s">
        <v>970</v>
      </c>
      <c r="D547" s="3" t="s">
        <v>5</v>
      </c>
      <c r="E547" s="40" t="s">
        <v>1800</v>
      </c>
      <c r="F547" s="4">
        <v>300</v>
      </c>
      <c r="G547" s="5" t="s">
        <v>1266</v>
      </c>
      <c r="H547" s="6" t="s">
        <v>81</v>
      </c>
      <c r="I547" s="3" t="s">
        <v>19</v>
      </c>
      <c r="J547" s="8" t="s">
        <v>3</v>
      </c>
      <c r="K547" s="3" t="s">
        <v>1278</v>
      </c>
      <c r="L547" s="3"/>
    </row>
    <row r="548" spans="2:12" ht="45" x14ac:dyDescent="0.25">
      <c r="B548" s="1">
        <v>560</v>
      </c>
      <c r="C548" s="3" t="s">
        <v>589</v>
      </c>
      <c r="D548" s="3" t="s">
        <v>89</v>
      </c>
      <c r="E548" s="40">
        <v>82</v>
      </c>
      <c r="F548" s="4">
        <v>100</v>
      </c>
      <c r="G548" s="5" t="s">
        <v>1266</v>
      </c>
      <c r="H548" s="6" t="s">
        <v>81</v>
      </c>
      <c r="I548" s="3" t="s">
        <v>19</v>
      </c>
      <c r="J548" s="8" t="s">
        <v>3</v>
      </c>
      <c r="K548" s="3" t="s">
        <v>1279</v>
      </c>
      <c r="L548" s="3"/>
    </row>
    <row r="549" spans="2:12" s="3" customFormat="1" ht="45" x14ac:dyDescent="0.25">
      <c r="B549" s="3">
        <v>561</v>
      </c>
      <c r="C549" s="3" t="s">
        <v>949</v>
      </c>
      <c r="D549" s="3" t="s">
        <v>89</v>
      </c>
      <c r="E549" s="40" t="s">
        <v>507</v>
      </c>
      <c r="F549" s="4">
        <v>50</v>
      </c>
      <c r="G549" s="5" t="s">
        <v>1266</v>
      </c>
      <c r="H549" s="6" t="s">
        <v>81</v>
      </c>
      <c r="I549" s="3" t="s">
        <v>19</v>
      </c>
      <c r="J549" s="8" t="s">
        <v>3</v>
      </c>
      <c r="K549" s="3" t="s">
        <v>1280</v>
      </c>
    </row>
    <row r="550" spans="2:12" ht="45" x14ac:dyDescent="0.25">
      <c r="B550" s="3">
        <v>562</v>
      </c>
      <c r="C550" s="3" t="s">
        <v>497</v>
      </c>
      <c r="D550" s="3" t="s">
        <v>89</v>
      </c>
      <c r="E550" s="40" t="s">
        <v>1388</v>
      </c>
      <c r="F550" s="4">
        <v>150</v>
      </c>
      <c r="G550" s="5" t="s">
        <v>1266</v>
      </c>
      <c r="H550" s="6" t="s">
        <v>81</v>
      </c>
      <c r="I550" s="3" t="s">
        <v>19</v>
      </c>
      <c r="J550" s="8" t="s">
        <v>3</v>
      </c>
      <c r="K550" s="3" t="s">
        <v>1281</v>
      </c>
      <c r="L550" s="3"/>
    </row>
    <row r="551" spans="2:12" ht="45" x14ac:dyDescent="0.25">
      <c r="B551" s="1">
        <v>563</v>
      </c>
      <c r="C551" s="3" t="s">
        <v>603</v>
      </c>
      <c r="D551" s="12" t="s">
        <v>5</v>
      </c>
      <c r="E551" s="40">
        <v>290.06</v>
      </c>
      <c r="F551" s="4">
        <v>300</v>
      </c>
      <c r="G551" s="5" t="s">
        <v>1266</v>
      </c>
      <c r="H551" s="6" t="s">
        <v>81</v>
      </c>
      <c r="I551" s="3" t="s">
        <v>19</v>
      </c>
      <c r="J551" s="8" t="s">
        <v>3</v>
      </c>
      <c r="K551" s="3" t="s">
        <v>1282</v>
      </c>
      <c r="L551" s="3"/>
    </row>
    <row r="552" spans="2:12" ht="45" x14ac:dyDescent="0.25">
      <c r="B552" s="1">
        <v>564</v>
      </c>
      <c r="C552" s="3" t="s">
        <v>1204</v>
      </c>
      <c r="D552" s="3" t="s">
        <v>89</v>
      </c>
      <c r="E552" s="40">
        <v>49</v>
      </c>
      <c r="F552" s="4">
        <v>60</v>
      </c>
      <c r="G552" s="5" t="s">
        <v>1266</v>
      </c>
      <c r="H552" s="6" t="s">
        <v>81</v>
      </c>
      <c r="I552" s="3" t="s">
        <v>19</v>
      </c>
      <c r="J552" s="8" t="s">
        <v>3</v>
      </c>
      <c r="K552" s="3" t="s">
        <v>1283</v>
      </c>
      <c r="L552" s="3"/>
    </row>
    <row r="553" spans="2:12" ht="45" x14ac:dyDescent="0.25">
      <c r="B553" s="3">
        <v>565</v>
      </c>
      <c r="C553" s="3" t="s">
        <v>1205</v>
      </c>
      <c r="D553" s="3" t="s">
        <v>89</v>
      </c>
      <c r="E553" s="40" t="s">
        <v>1121</v>
      </c>
      <c r="F553" s="4">
        <v>60</v>
      </c>
      <c r="G553" s="5" t="s">
        <v>1266</v>
      </c>
      <c r="H553" s="6" t="s">
        <v>81</v>
      </c>
      <c r="I553" s="3" t="s">
        <v>19</v>
      </c>
      <c r="J553" s="8" t="s">
        <v>3</v>
      </c>
      <c r="K553" s="3" t="s">
        <v>1284</v>
      </c>
      <c r="L553" s="3"/>
    </row>
    <row r="554" spans="2:12" ht="45" x14ac:dyDescent="0.25">
      <c r="B554" s="3">
        <v>566</v>
      </c>
      <c r="C554" s="3" t="s">
        <v>625</v>
      </c>
      <c r="D554" s="3" t="s">
        <v>5</v>
      </c>
      <c r="E554" s="40" t="s">
        <v>1413</v>
      </c>
      <c r="F554" s="4">
        <v>180.08</v>
      </c>
      <c r="G554" s="5" t="s">
        <v>1266</v>
      </c>
      <c r="H554" s="6" t="s">
        <v>81</v>
      </c>
      <c r="I554" s="3" t="s">
        <v>19</v>
      </c>
      <c r="J554" s="8" t="s">
        <v>3</v>
      </c>
      <c r="K554" s="3" t="s">
        <v>1285</v>
      </c>
      <c r="L554" s="3"/>
    </row>
    <row r="555" spans="2:12" s="3" customFormat="1" ht="45" x14ac:dyDescent="0.25">
      <c r="B555" s="1">
        <v>567</v>
      </c>
      <c r="C555" s="3" t="s">
        <v>1206</v>
      </c>
      <c r="D555" s="3" t="s">
        <v>5</v>
      </c>
      <c r="E555" s="40" t="s">
        <v>1453</v>
      </c>
      <c r="F555" s="4">
        <v>1600</v>
      </c>
      <c r="G555" s="5" t="s">
        <v>1266</v>
      </c>
      <c r="H555" s="6" t="s">
        <v>81</v>
      </c>
      <c r="I555" s="3" t="s">
        <v>19</v>
      </c>
      <c r="J555" s="8" t="s">
        <v>3</v>
      </c>
      <c r="K555" s="3" t="s">
        <v>1286</v>
      </c>
    </row>
    <row r="556" spans="2:12" ht="45" x14ac:dyDescent="0.25">
      <c r="B556" s="1">
        <v>568</v>
      </c>
      <c r="C556" s="3" t="s">
        <v>641</v>
      </c>
      <c r="D556" s="3" t="s">
        <v>83</v>
      </c>
      <c r="E556" s="40" t="s">
        <v>1429</v>
      </c>
      <c r="F556" s="4">
        <v>1825</v>
      </c>
      <c r="G556" s="5" t="s">
        <v>1266</v>
      </c>
      <c r="H556" s="6" t="s">
        <v>81</v>
      </c>
      <c r="I556" s="3" t="s">
        <v>19</v>
      </c>
      <c r="J556" s="8" t="s">
        <v>3</v>
      </c>
      <c r="K556" s="3" t="s">
        <v>1287</v>
      </c>
      <c r="L556" s="3"/>
    </row>
    <row r="557" spans="2:12" ht="45" x14ac:dyDescent="0.25">
      <c r="B557" s="3">
        <v>569</v>
      </c>
      <c r="C557" s="3" t="s">
        <v>542</v>
      </c>
      <c r="D557" s="3" t="s">
        <v>543</v>
      </c>
      <c r="E557" s="40" t="s">
        <v>1420</v>
      </c>
      <c r="F557" s="4">
        <v>1735</v>
      </c>
      <c r="G557" s="5" t="s">
        <v>1266</v>
      </c>
      <c r="H557" s="6" t="s">
        <v>81</v>
      </c>
      <c r="I557" s="3" t="s">
        <v>19</v>
      </c>
      <c r="J557" s="8" t="s">
        <v>3</v>
      </c>
      <c r="K557" s="3" t="s">
        <v>1288</v>
      </c>
      <c r="L557" s="3"/>
    </row>
    <row r="558" spans="2:12" ht="45" x14ac:dyDescent="0.25">
      <c r="B558" s="3">
        <v>570</v>
      </c>
      <c r="C558" s="3" t="s">
        <v>1207</v>
      </c>
      <c r="D558" s="3" t="s">
        <v>83</v>
      </c>
      <c r="E558" s="40" t="s">
        <v>1385</v>
      </c>
      <c r="F558" s="4">
        <v>625</v>
      </c>
      <c r="G558" s="5" t="s">
        <v>1266</v>
      </c>
      <c r="H558" s="6" t="s">
        <v>81</v>
      </c>
      <c r="I558" s="3" t="s">
        <v>19</v>
      </c>
      <c r="J558" s="8" t="s">
        <v>3</v>
      </c>
      <c r="K558" s="3" t="s">
        <v>1289</v>
      </c>
      <c r="L558" s="3"/>
    </row>
    <row r="559" spans="2:12" ht="45" x14ac:dyDescent="0.25">
      <c r="B559" s="1">
        <v>571</v>
      </c>
      <c r="C559" s="3" t="s">
        <v>1208</v>
      </c>
      <c r="D559" s="3" t="s">
        <v>1209</v>
      </c>
      <c r="E559" s="40" t="s">
        <v>514</v>
      </c>
      <c r="F559" s="4">
        <v>1500</v>
      </c>
      <c r="G559" s="5" t="s">
        <v>1266</v>
      </c>
      <c r="H559" s="6" t="s">
        <v>81</v>
      </c>
      <c r="I559" s="3" t="s">
        <v>19</v>
      </c>
      <c r="J559" s="8" t="s">
        <v>3</v>
      </c>
      <c r="K559" s="67" t="s">
        <v>1290</v>
      </c>
      <c r="L559" s="3"/>
    </row>
    <row r="560" spans="2:12" ht="45" x14ac:dyDescent="0.25">
      <c r="B560" s="1">
        <v>572</v>
      </c>
      <c r="C560" s="3" t="s">
        <v>623</v>
      </c>
      <c r="D560" s="3" t="s">
        <v>104</v>
      </c>
      <c r="E560" s="40" t="s">
        <v>1401</v>
      </c>
      <c r="F560" s="4">
        <v>5005</v>
      </c>
      <c r="G560" s="5" t="s">
        <v>1266</v>
      </c>
      <c r="H560" s="6" t="s">
        <v>81</v>
      </c>
      <c r="I560" s="3" t="s">
        <v>19</v>
      </c>
      <c r="J560" s="8" t="s">
        <v>3</v>
      </c>
      <c r="K560" s="67" t="s">
        <v>1291</v>
      </c>
      <c r="L560" s="3"/>
    </row>
    <row r="561" spans="2:12" ht="45" x14ac:dyDescent="0.25">
      <c r="B561" s="3">
        <v>573</v>
      </c>
      <c r="C561" s="3" t="s">
        <v>103</v>
      </c>
      <c r="D561" s="3" t="s">
        <v>104</v>
      </c>
      <c r="E561" s="40" t="s">
        <v>1400</v>
      </c>
      <c r="F561" s="4">
        <v>6240</v>
      </c>
      <c r="G561" s="5" t="s">
        <v>1266</v>
      </c>
      <c r="H561" s="6" t="s">
        <v>81</v>
      </c>
      <c r="I561" s="3" t="s">
        <v>19</v>
      </c>
      <c r="J561" s="8" t="s">
        <v>3</v>
      </c>
      <c r="K561" s="67" t="s">
        <v>1292</v>
      </c>
      <c r="L561" s="3"/>
    </row>
    <row r="562" spans="2:12" ht="45" x14ac:dyDescent="0.25">
      <c r="B562" s="3">
        <v>574</v>
      </c>
      <c r="C562" s="12" t="s">
        <v>1210</v>
      </c>
      <c r="D562" s="12" t="s">
        <v>5</v>
      </c>
      <c r="E562" s="40" t="s">
        <v>1443</v>
      </c>
      <c r="F562" s="68">
        <v>2837.5</v>
      </c>
      <c r="G562" s="69" t="s">
        <v>1293</v>
      </c>
      <c r="H562" s="70" t="s">
        <v>81</v>
      </c>
      <c r="I562" s="3" t="s">
        <v>19</v>
      </c>
      <c r="J562" s="8" t="s">
        <v>3</v>
      </c>
      <c r="K562" s="67" t="s">
        <v>1294</v>
      </c>
      <c r="L562" s="3"/>
    </row>
    <row r="563" spans="2:12" ht="101.25" x14ac:dyDescent="0.25">
      <c r="B563" s="1">
        <v>575</v>
      </c>
      <c r="C563" s="3" t="s">
        <v>1211</v>
      </c>
      <c r="D563" s="3" t="s">
        <v>1212</v>
      </c>
      <c r="E563" s="40" t="s">
        <v>1419</v>
      </c>
      <c r="F563" s="4">
        <v>43123.1</v>
      </c>
      <c r="G563" s="69" t="s">
        <v>1293</v>
      </c>
      <c r="H563" s="70" t="s">
        <v>81</v>
      </c>
      <c r="I563" s="3" t="s">
        <v>19</v>
      </c>
      <c r="J563" s="10" t="s">
        <v>566</v>
      </c>
      <c r="K563" s="67" t="s">
        <v>1295</v>
      </c>
      <c r="L563" s="3"/>
    </row>
    <row r="564" spans="2:12" ht="22.5" x14ac:dyDescent="0.25">
      <c r="B564" s="1">
        <v>576</v>
      </c>
      <c r="C564" s="3" t="s">
        <v>494</v>
      </c>
      <c r="D564" s="3" t="s">
        <v>495</v>
      </c>
      <c r="E564" s="41">
        <f>964+159+42+60.5+143.5+708+15+1062.5+217.5+91+789.5+532.5</f>
        <v>4785</v>
      </c>
      <c r="F564" s="4">
        <v>5000</v>
      </c>
      <c r="G564" s="5" t="s">
        <v>1296</v>
      </c>
      <c r="H564" s="6" t="s">
        <v>81</v>
      </c>
      <c r="I564" s="12" t="s">
        <v>9</v>
      </c>
      <c r="J564" s="10" t="s">
        <v>1297</v>
      </c>
      <c r="K564" s="67"/>
      <c r="L564" s="3"/>
    </row>
    <row r="565" spans="2:12" ht="101.25" x14ac:dyDescent="0.25">
      <c r="B565" s="3">
        <v>577</v>
      </c>
      <c r="C565" s="3" t="s">
        <v>601</v>
      </c>
      <c r="D565" s="3" t="s">
        <v>1213</v>
      </c>
      <c r="E565" s="40" t="s">
        <v>1430</v>
      </c>
      <c r="F565" s="4">
        <v>97881</v>
      </c>
      <c r="G565" s="5" t="s">
        <v>1296</v>
      </c>
      <c r="H565" s="6" t="s">
        <v>81</v>
      </c>
      <c r="I565" s="3" t="s">
        <v>19</v>
      </c>
      <c r="J565" s="10" t="s">
        <v>1298</v>
      </c>
      <c r="K565" s="67" t="s">
        <v>1299</v>
      </c>
      <c r="L565" s="3"/>
    </row>
    <row r="566" spans="2:12" ht="101.25" x14ac:dyDescent="0.25">
      <c r="B566" s="3">
        <v>578</v>
      </c>
      <c r="C566" s="3" t="s">
        <v>1214</v>
      </c>
      <c r="D566" s="3" t="s">
        <v>1215</v>
      </c>
      <c r="E566" s="40" t="s">
        <v>1418</v>
      </c>
      <c r="F566" s="4">
        <v>6437.5</v>
      </c>
      <c r="G566" s="5" t="s">
        <v>1300</v>
      </c>
      <c r="H566" s="6" t="s">
        <v>81</v>
      </c>
      <c r="I566" s="3" t="s">
        <v>19</v>
      </c>
      <c r="J566" s="10" t="s">
        <v>566</v>
      </c>
      <c r="K566" s="67" t="s">
        <v>1301</v>
      </c>
      <c r="L566" s="3"/>
    </row>
    <row r="567" spans="2:12" ht="45" x14ac:dyDescent="0.25">
      <c r="B567" s="1">
        <v>579</v>
      </c>
      <c r="C567" s="3" t="s">
        <v>164</v>
      </c>
      <c r="D567" s="3" t="s">
        <v>89</v>
      </c>
      <c r="E567" s="40" t="s">
        <v>1446</v>
      </c>
      <c r="F567" s="4">
        <v>2800</v>
      </c>
      <c r="G567" s="5" t="s">
        <v>1300</v>
      </c>
      <c r="H567" s="6" t="s">
        <v>81</v>
      </c>
      <c r="I567" s="3" t="s">
        <v>19</v>
      </c>
      <c r="J567" s="8" t="s">
        <v>3</v>
      </c>
      <c r="K567" s="67" t="s">
        <v>1302</v>
      </c>
      <c r="L567" s="3"/>
    </row>
    <row r="568" spans="2:12" ht="45" x14ac:dyDescent="0.25">
      <c r="B568" s="1">
        <v>580</v>
      </c>
      <c r="C568" s="3" t="s">
        <v>1216</v>
      </c>
      <c r="D568" s="3" t="s">
        <v>543</v>
      </c>
      <c r="E568" s="40" t="s">
        <v>521</v>
      </c>
      <c r="F568" s="4">
        <v>1400</v>
      </c>
      <c r="G568" s="5" t="s">
        <v>1300</v>
      </c>
      <c r="H568" s="6" t="s">
        <v>81</v>
      </c>
      <c r="I568" s="3" t="s">
        <v>19</v>
      </c>
      <c r="J568" s="8" t="s">
        <v>3</v>
      </c>
      <c r="K568" s="67" t="s">
        <v>1303</v>
      </c>
      <c r="L568" s="3"/>
    </row>
    <row r="569" spans="2:12" ht="45" x14ac:dyDescent="0.25">
      <c r="B569" s="3">
        <v>581</v>
      </c>
      <c r="C569" s="3" t="s">
        <v>133</v>
      </c>
      <c r="D569" s="3" t="s">
        <v>5</v>
      </c>
      <c r="E569" s="40">
        <f>52237.3+543.74+2700.8+2148.89+1077.6+1349.75+269.21+1615.98+3226.37+267.95+2411.47+5357.84+1205.64+541.62+1317.48+2756.04+1388.27+1112.9+2506.05+1437.81+847.69+1176.74+2349.32+7775.71</f>
        <v>97622.17</v>
      </c>
      <c r="F569" s="4">
        <v>100000</v>
      </c>
      <c r="G569" s="5" t="s">
        <v>1300</v>
      </c>
      <c r="H569" s="6" t="s">
        <v>81</v>
      </c>
      <c r="I569" s="3" t="s">
        <v>19</v>
      </c>
      <c r="J569" s="8" t="s">
        <v>3</v>
      </c>
      <c r="K569" s="67" t="s">
        <v>1304</v>
      </c>
      <c r="L569" s="3"/>
    </row>
    <row r="570" spans="2:12" ht="45.75" x14ac:dyDescent="0.25">
      <c r="B570" s="3">
        <v>582</v>
      </c>
      <c r="C570" s="3" t="s">
        <v>1217</v>
      </c>
      <c r="D570" s="3" t="s">
        <v>1218</v>
      </c>
      <c r="E570" s="40" t="s">
        <v>1431</v>
      </c>
      <c r="F570" s="4">
        <v>2780</v>
      </c>
      <c r="G570" s="5" t="s">
        <v>1300</v>
      </c>
      <c r="H570" s="6" t="s">
        <v>81</v>
      </c>
      <c r="I570" s="3" t="s">
        <v>19</v>
      </c>
      <c r="J570" s="8" t="s">
        <v>7</v>
      </c>
      <c r="K570" s="67" t="s">
        <v>1305</v>
      </c>
      <c r="L570" s="3"/>
    </row>
    <row r="571" spans="2:12" ht="45" x14ac:dyDescent="0.25">
      <c r="B571" s="1">
        <v>583</v>
      </c>
      <c r="C571" s="3" t="s">
        <v>1219</v>
      </c>
      <c r="D571" s="3" t="s">
        <v>89</v>
      </c>
      <c r="E571" s="40">
        <v>50</v>
      </c>
      <c r="F571" s="4">
        <v>50</v>
      </c>
      <c r="G571" s="5" t="s">
        <v>1306</v>
      </c>
      <c r="H571" s="6" t="s">
        <v>81</v>
      </c>
      <c r="I571" s="3" t="s">
        <v>19</v>
      </c>
      <c r="J571" s="8" t="s">
        <v>3</v>
      </c>
      <c r="K571" s="67" t="s">
        <v>1307</v>
      </c>
      <c r="L571" s="3"/>
    </row>
    <row r="572" spans="2:12" ht="45" x14ac:dyDescent="0.25">
      <c r="B572" s="1">
        <v>584</v>
      </c>
      <c r="C572" s="3" t="s">
        <v>1198</v>
      </c>
      <c r="D572" s="3" t="s">
        <v>89</v>
      </c>
      <c r="E572" s="40" t="s">
        <v>1432</v>
      </c>
      <c r="F572" s="4">
        <v>400</v>
      </c>
      <c r="G572" s="5" t="s">
        <v>1306</v>
      </c>
      <c r="H572" s="6" t="s">
        <v>81</v>
      </c>
      <c r="I572" s="3" t="s">
        <v>19</v>
      </c>
      <c r="J572" s="8" t="s">
        <v>3</v>
      </c>
      <c r="K572" s="67" t="s">
        <v>1308</v>
      </c>
      <c r="L572" s="3"/>
    </row>
    <row r="573" spans="2:12" ht="45" x14ac:dyDescent="0.25">
      <c r="B573" s="1" t="s">
        <v>1220</v>
      </c>
      <c r="C573" s="3" t="s">
        <v>1221</v>
      </c>
      <c r="D573" s="3" t="s">
        <v>89</v>
      </c>
      <c r="E573" s="40" t="s">
        <v>1423</v>
      </c>
      <c r="F573" s="4">
        <v>100</v>
      </c>
      <c r="G573" s="5" t="s">
        <v>1306</v>
      </c>
      <c r="H573" s="6" t="s">
        <v>81</v>
      </c>
      <c r="I573" s="3" t="s">
        <v>19</v>
      </c>
      <c r="J573" s="8" t="s">
        <v>3</v>
      </c>
      <c r="K573" s="67" t="s">
        <v>1309</v>
      </c>
      <c r="L573" s="3"/>
    </row>
    <row r="574" spans="2:12" ht="45.75" x14ac:dyDescent="0.25">
      <c r="B574" s="3">
        <v>585</v>
      </c>
      <c r="C574" s="3" t="s">
        <v>629</v>
      </c>
      <c r="D574" s="3" t="s">
        <v>462</v>
      </c>
      <c r="E574" s="40">
        <v>30</v>
      </c>
      <c r="F574" s="4">
        <v>30</v>
      </c>
      <c r="G574" s="5" t="s">
        <v>1310</v>
      </c>
      <c r="H574" s="6" t="s">
        <v>81</v>
      </c>
      <c r="I574" s="3" t="s">
        <v>19</v>
      </c>
      <c r="J574" s="8" t="s">
        <v>7</v>
      </c>
      <c r="K574" s="67" t="s">
        <v>1311</v>
      </c>
      <c r="L574" s="3"/>
    </row>
    <row r="575" spans="2:12" x14ac:dyDescent="0.25">
      <c r="B575" s="3">
        <v>586</v>
      </c>
      <c r="C575" s="71" t="s">
        <v>1222</v>
      </c>
      <c r="D575" s="3" t="s">
        <v>1223</v>
      </c>
      <c r="E575" s="41">
        <v>52800</v>
      </c>
      <c r="F575" s="3">
        <v>52800</v>
      </c>
      <c r="G575" s="5" t="s">
        <v>1310</v>
      </c>
      <c r="H575" s="6" t="s">
        <v>81</v>
      </c>
      <c r="I575" s="3" t="s">
        <v>12</v>
      </c>
      <c r="J575" s="8" t="s">
        <v>1312</v>
      </c>
      <c r="K575" s="67"/>
      <c r="L575" s="3"/>
    </row>
    <row r="576" spans="2:12" ht="67.5" x14ac:dyDescent="0.25">
      <c r="B576" s="1">
        <v>587</v>
      </c>
      <c r="C576" s="3" t="s">
        <v>1224</v>
      </c>
      <c r="D576" s="3" t="s">
        <v>1225</v>
      </c>
      <c r="E576" s="41">
        <f>63771.81+70228.19</f>
        <v>134000</v>
      </c>
      <c r="F576" s="4">
        <v>134000</v>
      </c>
      <c r="G576" s="5" t="s">
        <v>1310</v>
      </c>
      <c r="H576" s="6" t="s">
        <v>81</v>
      </c>
      <c r="I576" s="3" t="s">
        <v>12</v>
      </c>
      <c r="J576" s="8" t="s">
        <v>1313</v>
      </c>
      <c r="K576" s="67"/>
      <c r="L576" s="3"/>
    </row>
    <row r="577" spans="2:12" ht="45" x14ac:dyDescent="0.25">
      <c r="B577" s="1">
        <v>588</v>
      </c>
      <c r="C577" s="32" t="s">
        <v>624</v>
      </c>
      <c r="D577" s="3" t="s">
        <v>104</v>
      </c>
      <c r="E577" s="40" t="s">
        <v>1449</v>
      </c>
      <c r="F577" s="4">
        <v>11585.4</v>
      </c>
      <c r="G577" s="5" t="s">
        <v>1310</v>
      </c>
      <c r="H577" s="6" t="s">
        <v>81</v>
      </c>
      <c r="I577" s="3" t="s">
        <v>19</v>
      </c>
      <c r="J577" s="8" t="s">
        <v>3</v>
      </c>
      <c r="K577" s="67" t="s">
        <v>1433</v>
      </c>
      <c r="L577" s="3"/>
    </row>
    <row r="578" spans="2:12" ht="45" x14ac:dyDescent="0.25">
      <c r="B578" s="3">
        <v>589</v>
      </c>
      <c r="C578" s="32" t="s">
        <v>103</v>
      </c>
      <c r="D578" s="3" t="s">
        <v>104</v>
      </c>
      <c r="E578" s="40" t="s">
        <v>1435</v>
      </c>
      <c r="F578" s="4">
        <v>3003.5</v>
      </c>
      <c r="G578" s="5" t="s">
        <v>1310</v>
      </c>
      <c r="H578" s="6" t="s">
        <v>81</v>
      </c>
      <c r="I578" s="3" t="s">
        <v>19</v>
      </c>
      <c r="J578" s="8" t="s">
        <v>3</v>
      </c>
      <c r="K578" s="67" t="s">
        <v>1434</v>
      </c>
      <c r="L578" s="3"/>
    </row>
    <row r="579" spans="2:12" ht="25.5" x14ac:dyDescent="0.25">
      <c r="B579" s="3">
        <v>590</v>
      </c>
      <c r="C579" s="67" t="s">
        <v>1226</v>
      </c>
      <c r="D579" s="3" t="s">
        <v>1227</v>
      </c>
      <c r="E579" s="41">
        <v>18679</v>
      </c>
      <c r="F579" s="4">
        <v>28709</v>
      </c>
      <c r="G579" s="5" t="s">
        <v>1314</v>
      </c>
      <c r="H579" s="6" t="s">
        <v>81</v>
      </c>
      <c r="I579" s="3" t="s">
        <v>9</v>
      </c>
      <c r="J579" s="8" t="s">
        <v>1315</v>
      </c>
      <c r="K579" s="67"/>
      <c r="L579" s="3"/>
    </row>
    <row r="580" spans="2:12" ht="45" x14ac:dyDescent="0.25">
      <c r="B580" s="1">
        <v>591</v>
      </c>
      <c r="C580" s="67" t="s">
        <v>1228</v>
      </c>
      <c r="D580" s="3" t="s">
        <v>5</v>
      </c>
      <c r="E580" s="40">
        <v>291.07</v>
      </c>
      <c r="F580" s="4">
        <v>300</v>
      </c>
      <c r="G580" s="5" t="s">
        <v>1314</v>
      </c>
      <c r="H580" s="6" t="s">
        <v>81</v>
      </c>
      <c r="I580" s="3" t="s">
        <v>19</v>
      </c>
      <c r="J580" s="8" t="s">
        <v>3</v>
      </c>
      <c r="K580" s="67" t="s">
        <v>1316</v>
      </c>
      <c r="L580" s="3"/>
    </row>
    <row r="581" spans="2:12" ht="45" x14ac:dyDescent="0.25">
      <c r="B581" s="1">
        <v>592</v>
      </c>
      <c r="C581" s="66" t="s">
        <v>1229</v>
      </c>
      <c r="D581" s="3" t="s">
        <v>89</v>
      </c>
      <c r="E581" s="40">
        <v>50</v>
      </c>
      <c r="F581" s="4">
        <v>50</v>
      </c>
      <c r="G581" s="5" t="s">
        <v>1314</v>
      </c>
      <c r="H581" s="6" t="s">
        <v>81</v>
      </c>
      <c r="I581" s="3" t="s">
        <v>19</v>
      </c>
      <c r="J581" s="8" t="s">
        <v>3</v>
      </c>
      <c r="K581" s="67" t="s">
        <v>1317</v>
      </c>
      <c r="L581" s="3"/>
    </row>
    <row r="582" spans="2:12" ht="45" x14ac:dyDescent="0.25">
      <c r="B582" s="3">
        <v>593</v>
      </c>
      <c r="C582" s="3" t="s">
        <v>1230</v>
      </c>
      <c r="D582" s="3" t="s">
        <v>89</v>
      </c>
      <c r="E582" s="40">
        <v>59.8</v>
      </c>
      <c r="F582" s="4">
        <v>60</v>
      </c>
      <c r="G582" s="5" t="s">
        <v>1314</v>
      </c>
      <c r="H582" s="6" t="s">
        <v>81</v>
      </c>
      <c r="I582" s="3" t="s">
        <v>19</v>
      </c>
      <c r="J582" s="8" t="s">
        <v>3</v>
      </c>
      <c r="K582" s="67" t="s">
        <v>1787</v>
      </c>
      <c r="L582" s="3"/>
    </row>
    <row r="583" spans="2:12" ht="45" x14ac:dyDescent="0.25">
      <c r="B583" s="3">
        <v>594</v>
      </c>
      <c r="C583" s="3" t="s">
        <v>1231</v>
      </c>
      <c r="D583" s="3" t="s">
        <v>89</v>
      </c>
      <c r="E583" s="40">
        <v>50</v>
      </c>
      <c r="F583" s="4">
        <v>50</v>
      </c>
      <c r="G583" s="5" t="s">
        <v>1314</v>
      </c>
      <c r="H583" s="6" t="s">
        <v>81</v>
      </c>
      <c r="I583" s="3" t="s">
        <v>19</v>
      </c>
      <c r="J583" s="8" t="s">
        <v>3</v>
      </c>
      <c r="K583" s="67" t="s">
        <v>1454</v>
      </c>
      <c r="L583" s="3"/>
    </row>
    <row r="584" spans="2:12" ht="45" x14ac:dyDescent="0.25">
      <c r="B584" s="1">
        <v>595</v>
      </c>
      <c r="C584" s="3" t="s">
        <v>1232</v>
      </c>
      <c r="D584" s="3" t="s">
        <v>5</v>
      </c>
      <c r="E584" s="40">
        <f>2700+539.87+4051.35+1074.67+269.87+1079.5+538.94+817.57+1071.76+1656.66+552.22+1948.73+555.8+556.4+877.95+2344.28+917.04+227.64+1201.44+3348.72</f>
        <v>26330.41</v>
      </c>
      <c r="F584" s="4">
        <v>50000</v>
      </c>
      <c r="G584" s="5" t="s">
        <v>1318</v>
      </c>
      <c r="H584" s="6" t="s">
        <v>26</v>
      </c>
      <c r="I584" s="3" t="s">
        <v>19</v>
      </c>
      <c r="J584" s="8" t="s">
        <v>3</v>
      </c>
      <c r="K584" s="67" t="s">
        <v>1788</v>
      </c>
      <c r="L584" s="3"/>
    </row>
    <row r="585" spans="2:12" ht="101.25" x14ac:dyDescent="0.25">
      <c r="B585" s="1">
        <v>596</v>
      </c>
      <c r="C585" s="3" t="s">
        <v>1233</v>
      </c>
      <c r="D585" s="3" t="s">
        <v>1215</v>
      </c>
      <c r="E585" s="40" t="s">
        <v>1447</v>
      </c>
      <c r="F585" s="4">
        <v>1225</v>
      </c>
      <c r="G585" s="5" t="s">
        <v>1318</v>
      </c>
      <c r="H585" s="6" t="s">
        <v>81</v>
      </c>
      <c r="I585" s="3" t="s">
        <v>19</v>
      </c>
      <c r="J585" s="10" t="s">
        <v>566</v>
      </c>
      <c r="K585" s="67" t="s">
        <v>1319</v>
      </c>
      <c r="L585" s="3"/>
    </row>
    <row r="586" spans="2:12" ht="27" customHeight="1" x14ac:dyDescent="0.25">
      <c r="B586" s="3">
        <v>597</v>
      </c>
      <c r="C586" s="3" t="s">
        <v>1234</v>
      </c>
      <c r="D586" s="3" t="s">
        <v>1235</v>
      </c>
      <c r="E586" s="43">
        <f>1600</f>
        <v>1600</v>
      </c>
      <c r="F586" s="4">
        <v>10499</v>
      </c>
      <c r="G586" s="5" t="s">
        <v>1320</v>
      </c>
      <c r="H586" s="6" t="s">
        <v>81</v>
      </c>
      <c r="I586" s="3" t="s">
        <v>12</v>
      </c>
      <c r="J586" s="8" t="s">
        <v>1321</v>
      </c>
      <c r="K586" s="67"/>
      <c r="L586" s="3"/>
    </row>
    <row r="587" spans="2:12" ht="45" x14ac:dyDescent="0.25">
      <c r="B587" s="3">
        <v>598</v>
      </c>
      <c r="C587" s="3" t="s">
        <v>448</v>
      </c>
      <c r="D587" s="3" t="s">
        <v>89</v>
      </c>
      <c r="E587" s="40">
        <v>400</v>
      </c>
      <c r="F587" s="4">
        <v>500</v>
      </c>
      <c r="G587" s="5" t="s">
        <v>1322</v>
      </c>
      <c r="H587" s="6" t="s">
        <v>81</v>
      </c>
      <c r="I587" s="3" t="s">
        <v>19</v>
      </c>
      <c r="J587" s="8" t="s">
        <v>3</v>
      </c>
      <c r="K587" s="67" t="s">
        <v>1448</v>
      </c>
      <c r="L587" s="3"/>
    </row>
    <row r="588" spans="2:12" ht="45" x14ac:dyDescent="0.25">
      <c r="B588" s="1">
        <v>599</v>
      </c>
      <c r="C588" s="3" t="s">
        <v>1236</v>
      </c>
      <c r="D588" s="3" t="s">
        <v>83</v>
      </c>
      <c r="E588" s="40" t="s">
        <v>1779</v>
      </c>
      <c r="F588" s="4">
        <v>1370</v>
      </c>
      <c r="G588" s="5" t="s">
        <v>1322</v>
      </c>
      <c r="H588" s="6" t="s">
        <v>81</v>
      </c>
      <c r="I588" s="3" t="s">
        <v>19</v>
      </c>
      <c r="J588" s="8" t="s">
        <v>3</v>
      </c>
      <c r="K588" s="67" t="s">
        <v>1776</v>
      </c>
      <c r="L588" s="3"/>
    </row>
    <row r="589" spans="2:12" ht="45" x14ac:dyDescent="0.25">
      <c r="B589" s="1">
        <v>600</v>
      </c>
      <c r="C589" s="3" t="s">
        <v>1237</v>
      </c>
      <c r="D589" s="3" t="s">
        <v>5</v>
      </c>
      <c r="E589" s="40" t="s">
        <v>1780</v>
      </c>
      <c r="F589" s="4">
        <v>2778.3</v>
      </c>
      <c r="G589" s="5" t="s">
        <v>1322</v>
      </c>
      <c r="H589" s="6" t="s">
        <v>81</v>
      </c>
      <c r="I589" s="3" t="s">
        <v>19</v>
      </c>
      <c r="J589" s="8" t="s">
        <v>3</v>
      </c>
      <c r="K589" s="67" t="s">
        <v>1777</v>
      </c>
      <c r="L589" s="3"/>
    </row>
    <row r="590" spans="2:12" ht="45" x14ac:dyDescent="0.25">
      <c r="B590" s="3">
        <v>601</v>
      </c>
      <c r="C590" s="3" t="s">
        <v>967</v>
      </c>
      <c r="D590" s="3" t="s">
        <v>5</v>
      </c>
      <c r="E590" s="40" t="s">
        <v>1794</v>
      </c>
      <c r="F590" s="4">
        <v>11245.5</v>
      </c>
      <c r="G590" s="5" t="s">
        <v>1322</v>
      </c>
      <c r="H590" s="6" t="s">
        <v>81</v>
      </c>
      <c r="I590" s="3" t="s">
        <v>19</v>
      </c>
      <c r="J590" s="8" t="s">
        <v>3</v>
      </c>
      <c r="K590" s="67" t="s">
        <v>1778</v>
      </c>
      <c r="L590" s="3"/>
    </row>
    <row r="591" spans="2:12" ht="45" x14ac:dyDescent="0.25">
      <c r="B591" s="3">
        <v>602</v>
      </c>
      <c r="C591" s="3" t="s">
        <v>169</v>
      </c>
      <c r="D591" s="3" t="s">
        <v>543</v>
      </c>
      <c r="E591" s="40" t="s">
        <v>1775</v>
      </c>
      <c r="F591" s="4">
        <v>2250</v>
      </c>
      <c r="G591" s="5" t="s">
        <v>1322</v>
      </c>
      <c r="H591" s="6" t="s">
        <v>81</v>
      </c>
      <c r="I591" s="3" t="s">
        <v>19</v>
      </c>
      <c r="J591" s="8" t="s">
        <v>3</v>
      </c>
      <c r="K591" s="67" t="s">
        <v>1774</v>
      </c>
      <c r="L591" s="3"/>
    </row>
    <row r="592" spans="2:12" ht="45" x14ac:dyDescent="0.25">
      <c r="B592" s="1">
        <v>603</v>
      </c>
      <c r="C592" s="3" t="s">
        <v>1238</v>
      </c>
      <c r="D592" s="3" t="s">
        <v>5</v>
      </c>
      <c r="E592" s="40">
        <v>363</v>
      </c>
      <c r="F592" s="4">
        <v>363</v>
      </c>
      <c r="G592" s="5" t="s">
        <v>1322</v>
      </c>
      <c r="H592" s="6" t="s">
        <v>81</v>
      </c>
      <c r="I592" s="3" t="s">
        <v>19</v>
      </c>
      <c r="J592" s="8" t="s">
        <v>3</v>
      </c>
      <c r="K592" s="67" t="s">
        <v>1790</v>
      </c>
      <c r="L592" s="3"/>
    </row>
    <row r="593" spans="2:12" ht="45" x14ac:dyDescent="0.25">
      <c r="B593" s="1">
        <v>604</v>
      </c>
      <c r="C593" s="3" t="s">
        <v>1189</v>
      </c>
      <c r="D593" s="3" t="s">
        <v>89</v>
      </c>
      <c r="E593" s="40" t="s">
        <v>510</v>
      </c>
      <c r="F593" s="4">
        <v>200</v>
      </c>
      <c r="G593" s="5" t="s">
        <v>1322</v>
      </c>
      <c r="H593" s="6" t="s">
        <v>81</v>
      </c>
      <c r="I593" s="3" t="s">
        <v>19</v>
      </c>
      <c r="J593" s="8" t="s">
        <v>3</v>
      </c>
      <c r="K593" s="67" t="s">
        <v>1450</v>
      </c>
      <c r="L593" s="3"/>
    </row>
    <row r="594" spans="2:12" ht="45" x14ac:dyDescent="0.25">
      <c r="B594" s="3">
        <v>605</v>
      </c>
      <c r="C594" s="3" t="s">
        <v>1238</v>
      </c>
      <c r="D594" s="3" t="s">
        <v>89</v>
      </c>
      <c r="E594" s="40" t="s">
        <v>1783</v>
      </c>
      <c r="F594" s="4">
        <v>440</v>
      </c>
      <c r="G594" s="5" t="s">
        <v>1322</v>
      </c>
      <c r="H594" s="6" t="s">
        <v>81</v>
      </c>
      <c r="I594" s="3" t="s">
        <v>19</v>
      </c>
      <c r="J594" s="8" t="s">
        <v>3</v>
      </c>
      <c r="K594" s="67" t="s">
        <v>1781</v>
      </c>
      <c r="L594" s="3"/>
    </row>
    <row r="595" spans="2:12" ht="45" x14ac:dyDescent="0.25">
      <c r="B595" s="3">
        <v>606</v>
      </c>
      <c r="C595" s="3" t="s">
        <v>1239</v>
      </c>
      <c r="D595" s="3" t="s">
        <v>5</v>
      </c>
      <c r="E595" s="40" t="s">
        <v>1831</v>
      </c>
      <c r="F595" s="4">
        <v>61855.199999999997</v>
      </c>
      <c r="G595" s="5" t="s">
        <v>1322</v>
      </c>
      <c r="H595" s="6" t="s">
        <v>81</v>
      </c>
      <c r="I595" s="3" t="s">
        <v>19</v>
      </c>
      <c r="J595" s="8" t="s">
        <v>3</v>
      </c>
      <c r="K595" s="67" t="s">
        <v>1782</v>
      </c>
      <c r="L595" s="3"/>
    </row>
    <row r="596" spans="2:12" ht="45" x14ac:dyDescent="0.25">
      <c r="B596" s="1">
        <v>607</v>
      </c>
      <c r="C596" s="3" t="s">
        <v>169</v>
      </c>
      <c r="D596" s="3" t="s">
        <v>543</v>
      </c>
      <c r="E596" s="40">
        <v>700</v>
      </c>
      <c r="F596" s="4">
        <v>700</v>
      </c>
      <c r="G596" s="5" t="s">
        <v>1322</v>
      </c>
      <c r="H596" s="6" t="s">
        <v>81</v>
      </c>
      <c r="I596" s="3" t="s">
        <v>19</v>
      </c>
      <c r="J596" s="8" t="s">
        <v>3</v>
      </c>
      <c r="K596" s="67" t="s">
        <v>1436</v>
      </c>
      <c r="L596" s="3"/>
    </row>
    <row r="597" spans="2:12" ht="45" x14ac:dyDescent="0.25">
      <c r="B597" s="1">
        <v>608</v>
      </c>
      <c r="C597" s="3" t="s">
        <v>444</v>
      </c>
      <c r="D597" s="3" t="s">
        <v>543</v>
      </c>
      <c r="E597" s="40" t="s">
        <v>747</v>
      </c>
      <c r="F597" s="4">
        <v>2300</v>
      </c>
      <c r="G597" s="6" t="s">
        <v>1552</v>
      </c>
      <c r="H597" s="24" t="s">
        <v>81</v>
      </c>
      <c r="I597" s="3" t="s">
        <v>19</v>
      </c>
      <c r="J597" s="8" t="s">
        <v>3</v>
      </c>
      <c r="K597" s="67" t="s">
        <v>1553</v>
      </c>
      <c r="L597" s="3"/>
    </row>
    <row r="598" spans="2:12" ht="45" x14ac:dyDescent="0.25">
      <c r="B598" s="3">
        <v>609</v>
      </c>
      <c r="C598" s="3" t="s">
        <v>169</v>
      </c>
      <c r="D598" s="3" t="s">
        <v>543</v>
      </c>
      <c r="E598" s="40">
        <v>250</v>
      </c>
      <c r="F598" s="4">
        <v>250</v>
      </c>
      <c r="G598" s="5" t="s">
        <v>1552</v>
      </c>
      <c r="H598" s="6" t="s">
        <v>81</v>
      </c>
      <c r="I598" s="3" t="s">
        <v>19</v>
      </c>
      <c r="J598" s="8" t="s">
        <v>3</v>
      </c>
      <c r="K598" s="67" t="s">
        <v>1554</v>
      </c>
      <c r="L598" s="3"/>
    </row>
    <row r="599" spans="2:12" ht="45" x14ac:dyDescent="0.25">
      <c r="B599" s="3">
        <v>610</v>
      </c>
      <c r="C599" s="3" t="s">
        <v>262</v>
      </c>
      <c r="D599" s="3" t="s">
        <v>83</v>
      </c>
      <c r="E599" s="40">
        <v>212.5</v>
      </c>
      <c r="F599" s="4">
        <v>212.5</v>
      </c>
      <c r="G599" s="5" t="s">
        <v>1552</v>
      </c>
      <c r="H599" s="6" t="s">
        <v>81</v>
      </c>
      <c r="I599" s="3" t="s">
        <v>19</v>
      </c>
      <c r="J599" s="8" t="s">
        <v>3</v>
      </c>
      <c r="K599" s="67" t="s">
        <v>1555</v>
      </c>
      <c r="L599" s="3"/>
    </row>
    <row r="600" spans="2:12" ht="45" x14ac:dyDescent="0.25">
      <c r="B600" s="1">
        <v>611</v>
      </c>
      <c r="C600" s="3" t="s">
        <v>1455</v>
      </c>
      <c r="D600" s="3" t="s">
        <v>543</v>
      </c>
      <c r="E600" s="40" t="s">
        <v>1785</v>
      </c>
      <c r="F600" s="4">
        <v>1530</v>
      </c>
      <c r="G600" s="5" t="s">
        <v>1556</v>
      </c>
      <c r="H600" s="6" t="s">
        <v>81</v>
      </c>
      <c r="I600" s="3" t="s">
        <v>19</v>
      </c>
      <c r="J600" s="8" t="s">
        <v>3</v>
      </c>
      <c r="K600" s="67" t="s">
        <v>1557</v>
      </c>
      <c r="L600" s="3"/>
    </row>
    <row r="601" spans="2:12" ht="45" x14ac:dyDescent="0.25">
      <c r="B601" s="3">
        <v>613</v>
      </c>
      <c r="C601" s="3" t="s">
        <v>395</v>
      </c>
      <c r="D601" s="3" t="s">
        <v>1456</v>
      </c>
      <c r="E601" s="40">
        <v>265</v>
      </c>
      <c r="F601" s="4">
        <v>265</v>
      </c>
      <c r="G601" s="5" t="s">
        <v>1556</v>
      </c>
      <c r="H601" s="6" t="s">
        <v>81</v>
      </c>
      <c r="I601" s="3" t="s">
        <v>19</v>
      </c>
      <c r="J601" s="10" t="s">
        <v>885</v>
      </c>
      <c r="K601" s="67" t="s">
        <v>1558</v>
      </c>
      <c r="L601" s="3"/>
    </row>
    <row r="602" spans="2:12" ht="45" x14ac:dyDescent="0.25">
      <c r="B602" s="3">
        <v>614</v>
      </c>
      <c r="C602" s="3" t="s">
        <v>395</v>
      </c>
      <c r="D602" s="3" t="s">
        <v>1457</v>
      </c>
      <c r="E602" s="40" t="s">
        <v>1815</v>
      </c>
      <c r="F602" s="4">
        <v>990</v>
      </c>
      <c r="G602" s="5" t="s">
        <v>1556</v>
      </c>
      <c r="H602" s="6" t="s">
        <v>81</v>
      </c>
      <c r="I602" s="3" t="s">
        <v>19</v>
      </c>
      <c r="J602" s="10" t="s">
        <v>885</v>
      </c>
      <c r="K602" s="67" t="s">
        <v>1559</v>
      </c>
      <c r="L602" s="3"/>
    </row>
    <row r="603" spans="2:12" ht="101.25" x14ac:dyDescent="0.25">
      <c r="B603" s="1">
        <v>615</v>
      </c>
      <c r="C603" s="3" t="s">
        <v>1458</v>
      </c>
      <c r="D603" s="3" t="s">
        <v>1459</v>
      </c>
      <c r="E603" s="40">
        <f>8900+17800</f>
        <v>26700</v>
      </c>
      <c r="F603" s="4">
        <v>26700</v>
      </c>
      <c r="G603" s="5" t="s">
        <v>1556</v>
      </c>
      <c r="H603" s="6" t="s">
        <v>81</v>
      </c>
      <c r="I603" s="3" t="s">
        <v>19</v>
      </c>
      <c r="J603" s="10" t="s">
        <v>284</v>
      </c>
      <c r="K603" s="67" t="s">
        <v>1560</v>
      </c>
      <c r="L603" s="3"/>
    </row>
    <row r="604" spans="2:12" ht="45" x14ac:dyDescent="0.25">
      <c r="B604" s="1">
        <v>616</v>
      </c>
      <c r="C604" s="3" t="s">
        <v>623</v>
      </c>
      <c r="D604" s="3" t="s">
        <v>104</v>
      </c>
      <c r="E604" s="40" t="s">
        <v>1793</v>
      </c>
      <c r="F604" s="4">
        <v>1390</v>
      </c>
      <c r="G604" s="5" t="s">
        <v>1556</v>
      </c>
      <c r="H604" s="6" t="s">
        <v>81</v>
      </c>
      <c r="I604" s="3" t="s">
        <v>19</v>
      </c>
      <c r="J604" s="8" t="s">
        <v>3</v>
      </c>
      <c r="K604" s="67" t="s">
        <v>1561</v>
      </c>
      <c r="L604" s="3"/>
    </row>
    <row r="605" spans="2:12" ht="45" x14ac:dyDescent="0.25">
      <c r="B605" s="3">
        <v>617</v>
      </c>
      <c r="C605" s="3" t="s">
        <v>1460</v>
      </c>
      <c r="D605" s="3" t="s">
        <v>543</v>
      </c>
      <c r="E605" s="40" t="s">
        <v>1792</v>
      </c>
      <c r="F605" s="4">
        <v>2523.75</v>
      </c>
      <c r="G605" s="5" t="s">
        <v>1562</v>
      </c>
      <c r="H605" s="6" t="s">
        <v>81</v>
      </c>
      <c r="I605" s="3" t="s">
        <v>19</v>
      </c>
      <c r="J605" s="8" t="s">
        <v>3</v>
      </c>
      <c r="K605" s="67" t="s">
        <v>1563</v>
      </c>
      <c r="L605" s="3"/>
    </row>
    <row r="606" spans="2:12" ht="45" x14ac:dyDescent="0.25">
      <c r="B606" s="3">
        <v>618</v>
      </c>
      <c r="C606" s="3" t="s">
        <v>167</v>
      </c>
      <c r="D606" s="3" t="s">
        <v>89</v>
      </c>
      <c r="E606" s="40" t="s">
        <v>1789</v>
      </c>
      <c r="F606" s="4">
        <v>2050</v>
      </c>
      <c r="G606" s="5" t="s">
        <v>1562</v>
      </c>
      <c r="H606" s="6" t="s">
        <v>81</v>
      </c>
      <c r="I606" s="3" t="s">
        <v>19</v>
      </c>
      <c r="J606" s="8" t="s">
        <v>3</v>
      </c>
      <c r="K606" s="67" t="s">
        <v>1564</v>
      </c>
      <c r="L606" s="3"/>
    </row>
    <row r="607" spans="2:12" ht="45" x14ac:dyDescent="0.25">
      <c r="B607" s="1">
        <v>619</v>
      </c>
      <c r="C607" s="3" t="s">
        <v>1461</v>
      </c>
      <c r="D607" s="3" t="s">
        <v>543</v>
      </c>
      <c r="E607" s="40" t="s">
        <v>1771</v>
      </c>
      <c r="F607" s="4">
        <v>200</v>
      </c>
      <c r="G607" s="5" t="s">
        <v>1562</v>
      </c>
      <c r="H607" s="6" t="s">
        <v>81</v>
      </c>
      <c r="I607" s="3" t="s">
        <v>19</v>
      </c>
      <c r="J607" s="8" t="s">
        <v>3</v>
      </c>
      <c r="K607" s="67" t="s">
        <v>1565</v>
      </c>
      <c r="L607" s="3"/>
    </row>
    <row r="608" spans="2:12" ht="45" x14ac:dyDescent="0.25">
      <c r="B608" s="1">
        <v>620</v>
      </c>
      <c r="C608" s="3" t="s">
        <v>1461</v>
      </c>
      <c r="D608" s="3" t="s">
        <v>104</v>
      </c>
      <c r="E608" s="40">
        <v>650</v>
      </c>
      <c r="F608" s="4">
        <v>1300</v>
      </c>
      <c r="G608" s="5" t="s">
        <v>1562</v>
      </c>
      <c r="H608" s="6" t="s">
        <v>81</v>
      </c>
      <c r="I608" s="3" t="s">
        <v>19</v>
      </c>
      <c r="J608" s="8" t="s">
        <v>3</v>
      </c>
      <c r="K608" s="67" t="s">
        <v>1566</v>
      </c>
      <c r="L608" s="3"/>
    </row>
    <row r="609" spans="2:12" ht="45" x14ac:dyDescent="0.25">
      <c r="B609" s="3">
        <v>621</v>
      </c>
      <c r="C609" s="3" t="s">
        <v>614</v>
      </c>
      <c r="D609" s="3" t="s">
        <v>89</v>
      </c>
      <c r="E609" s="40">
        <v>400</v>
      </c>
      <c r="F609" s="4">
        <v>400</v>
      </c>
      <c r="G609" s="5" t="s">
        <v>1562</v>
      </c>
      <c r="H609" s="6" t="s">
        <v>81</v>
      </c>
      <c r="I609" s="3" t="s">
        <v>19</v>
      </c>
      <c r="J609" s="8" t="s">
        <v>3</v>
      </c>
      <c r="K609" s="67" t="s">
        <v>1567</v>
      </c>
      <c r="L609" s="3"/>
    </row>
    <row r="610" spans="2:12" ht="45" x14ac:dyDescent="0.25">
      <c r="B610" s="3">
        <v>622</v>
      </c>
      <c r="C610" s="3" t="s">
        <v>1462</v>
      </c>
      <c r="D610" s="3" t="s">
        <v>85</v>
      </c>
      <c r="E610" s="40" t="s">
        <v>1786</v>
      </c>
      <c r="F610" s="4">
        <v>1900</v>
      </c>
      <c r="G610" s="5" t="s">
        <v>1562</v>
      </c>
      <c r="H610" s="6" t="s">
        <v>81</v>
      </c>
      <c r="I610" s="3" t="s">
        <v>19</v>
      </c>
      <c r="J610" s="8" t="s">
        <v>3</v>
      </c>
      <c r="K610" s="67" t="s">
        <v>1568</v>
      </c>
      <c r="L610" s="3"/>
    </row>
    <row r="611" spans="2:12" ht="45" x14ac:dyDescent="0.25">
      <c r="B611" s="1">
        <v>623</v>
      </c>
      <c r="C611" s="3" t="s">
        <v>542</v>
      </c>
      <c r="D611" s="3" t="s">
        <v>543</v>
      </c>
      <c r="E611" s="40" t="s">
        <v>1772</v>
      </c>
      <c r="F611" s="4" t="s">
        <v>1773</v>
      </c>
      <c r="G611" s="5" t="s">
        <v>1562</v>
      </c>
      <c r="H611" s="6" t="s">
        <v>81</v>
      </c>
      <c r="I611" s="3" t="s">
        <v>19</v>
      </c>
      <c r="J611" s="8" t="s">
        <v>3</v>
      </c>
      <c r="K611" s="67" t="s">
        <v>1569</v>
      </c>
      <c r="L611" s="3"/>
    </row>
    <row r="612" spans="2:12" ht="45" x14ac:dyDescent="0.25">
      <c r="B612" s="1">
        <v>624</v>
      </c>
      <c r="C612" s="3" t="s">
        <v>444</v>
      </c>
      <c r="D612" s="3" t="s">
        <v>543</v>
      </c>
      <c r="E612" s="40">
        <v>750</v>
      </c>
      <c r="F612" s="4">
        <v>750</v>
      </c>
      <c r="G612" s="5" t="s">
        <v>1570</v>
      </c>
      <c r="H612" s="6" t="s">
        <v>81</v>
      </c>
      <c r="I612" s="3" t="s">
        <v>19</v>
      </c>
      <c r="J612" s="8" t="s">
        <v>3</v>
      </c>
      <c r="K612" s="67" t="s">
        <v>1571</v>
      </c>
      <c r="L612" s="3"/>
    </row>
    <row r="613" spans="2:12" ht="45" x14ac:dyDescent="0.25">
      <c r="B613" s="3">
        <v>625</v>
      </c>
      <c r="C613" s="3" t="s">
        <v>1463</v>
      </c>
      <c r="D613" s="3" t="s">
        <v>83</v>
      </c>
      <c r="E613" s="40" t="s">
        <v>1784</v>
      </c>
      <c r="F613" s="4">
        <v>375</v>
      </c>
      <c r="G613" s="5" t="s">
        <v>1570</v>
      </c>
      <c r="H613" s="6" t="s">
        <v>81</v>
      </c>
      <c r="I613" s="3" t="s">
        <v>19</v>
      </c>
      <c r="J613" s="8" t="s">
        <v>3</v>
      </c>
      <c r="K613" s="67" t="s">
        <v>1572</v>
      </c>
      <c r="L613" s="3"/>
    </row>
    <row r="614" spans="2:12" ht="45" x14ac:dyDescent="0.25">
      <c r="B614" s="3">
        <v>626</v>
      </c>
      <c r="C614" s="3" t="s">
        <v>1464</v>
      </c>
      <c r="D614" s="3" t="s">
        <v>89</v>
      </c>
      <c r="E614" s="40">
        <v>59.4</v>
      </c>
      <c r="F614" s="4">
        <v>60</v>
      </c>
      <c r="G614" s="5" t="s">
        <v>1570</v>
      </c>
      <c r="H614" s="6" t="s">
        <v>81</v>
      </c>
      <c r="I614" s="3" t="s">
        <v>19</v>
      </c>
      <c r="J614" s="8" t="s">
        <v>3</v>
      </c>
      <c r="K614" s="67" t="s">
        <v>1573</v>
      </c>
      <c r="L614" s="3"/>
    </row>
    <row r="615" spans="2:12" ht="45" x14ac:dyDescent="0.25">
      <c r="B615" s="1">
        <v>627</v>
      </c>
      <c r="C615" s="3" t="s">
        <v>1465</v>
      </c>
      <c r="D615" s="3" t="s">
        <v>85</v>
      </c>
      <c r="E615" s="40">
        <v>300</v>
      </c>
      <c r="F615" s="4">
        <v>300</v>
      </c>
      <c r="G615" s="5" t="s">
        <v>1570</v>
      </c>
      <c r="H615" s="6" t="s">
        <v>81</v>
      </c>
      <c r="I615" s="3" t="s">
        <v>19</v>
      </c>
      <c r="J615" s="8" t="s">
        <v>3</v>
      </c>
      <c r="K615" s="67" t="s">
        <v>1574</v>
      </c>
      <c r="L615" s="3"/>
    </row>
    <row r="616" spans="2:12" ht="45" x14ac:dyDescent="0.25">
      <c r="B616" s="1">
        <v>628</v>
      </c>
      <c r="C616" s="3" t="s">
        <v>1466</v>
      </c>
      <c r="D616" s="3" t="s">
        <v>85</v>
      </c>
      <c r="E616" s="40" t="s">
        <v>1797</v>
      </c>
      <c r="F616" s="4">
        <v>279</v>
      </c>
      <c r="G616" s="5" t="s">
        <v>1570</v>
      </c>
      <c r="H616" s="6" t="s">
        <v>81</v>
      </c>
      <c r="I616" s="3" t="s">
        <v>19</v>
      </c>
      <c r="J616" s="8" t="s">
        <v>3</v>
      </c>
      <c r="K616" s="67" t="s">
        <v>1575</v>
      </c>
      <c r="L616" s="3"/>
    </row>
    <row r="617" spans="2:12" ht="45" x14ac:dyDescent="0.25">
      <c r="B617" s="3">
        <v>629</v>
      </c>
      <c r="C617" s="3" t="s">
        <v>103</v>
      </c>
      <c r="D617" s="3" t="s">
        <v>104</v>
      </c>
      <c r="E617" s="40" t="s">
        <v>1798</v>
      </c>
      <c r="F617" s="4">
        <v>7469.1</v>
      </c>
      <c r="G617" s="5" t="s">
        <v>1576</v>
      </c>
      <c r="H617" s="6" t="s">
        <v>81</v>
      </c>
      <c r="I617" s="3" t="s">
        <v>19</v>
      </c>
      <c r="J617" s="8" t="s">
        <v>3</v>
      </c>
      <c r="K617" s="67" t="s">
        <v>1577</v>
      </c>
      <c r="L617" s="3"/>
    </row>
    <row r="618" spans="2:12" ht="45" x14ac:dyDescent="0.25">
      <c r="B618" s="3">
        <v>630</v>
      </c>
      <c r="C618" s="3" t="s">
        <v>1467</v>
      </c>
      <c r="D618" s="3" t="s">
        <v>85</v>
      </c>
      <c r="E618" s="40" t="s">
        <v>1809</v>
      </c>
      <c r="F618" s="4">
        <v>2458.81</v>
      </c>
      <c r="G618" s="5" t="s">
        <v>1578</v>
      </c>
      <c r="H618" s="6" t="s">
        <v>81</v>
      </c>
      <c r="I618" s="3" t="s">
        <v>19</v>
      </c>
      <c r="J618" s="8" t="s">
        <v>3</v>
      </c>
      <c r="K618" s="67" t="s">
        <v>1579</v>
      </c>
      <c r="L618" s="3"/>
    </row>
    <row r="619" spans="2:12" ht="45" x14ac:dyDescent="0.25">
      <c r="B619" s="1">
        <v>631</v>
      </c>
      <c r="C619" s="3" t="s">
        <v>262</v>
      </c>
      <c r="D619" s="3" t="s">
        <v>83</v>
      </c>
      <c r="E619" s="40" t="s">
        <v>1795</v>
      </c>
      <c r="F619" s="4">
        <v>187.5</v>
      </c>
      <c r="G619" s="5" t="s">
        <v>1578</v>
      </c>
      <c r="H619" s="6" t="s">
        <v>81</v>
      </c>
      <c r="I619" s="3" t="s">
        <v>19</v>
      </c>
      <c r="J619" s="8" t="s">
        <v>3</v>
      </c>
      <c r="K619" s="67" t="s">
        <v>1580</v>
      </c>
      <c r="L619" s="3"/>
    </row>
    <row r="620" spans="2:12" ht="45" x14ac:dyDescent="0.25">
      <c r="B620" s="1">
        <v>632</v>
      </c>
      <c r="C620" s="3" t="s">
        <v>979</v>
      </c>
      <c r="D620" s="3" t="s">
        <v>89</v>
      </c>
      <c r="E620" s="40" t="s">
        <v>1819</v>
      </c>
      <c r="F620" s="4">
        <v>360</v>
      </c>
      <c r="G620" s="5" t="s">
        <v>1578</v>
      </c>
      <c r="H620" s="6" t="s">
        <v>81</v>
      </c>
      <c r="I620" s="3" t="s">
        <v>19</v>
      </c>
      <c r="J620" s="8" t="s">
        <v>3</v>
      </c>
      <c r="K620" s="67" t="s">
        <v>1581</v>
      </c>
      <c r="L620" s="3"/>
    </row>
    <row r="621" spans="2:12" ht="45" x14ac:dyDescent="0.25">
      <c r="B621" s="3">
        <v>633</v>
      </c>
      <c r="C621" s="3" t="s">
        <v>1466</v>
      </c>
      <c r="D621" s="3" t="s">
        <v>85</v>
      </c>
      <c r="E621" s="40">
        <v>787.5</v>
      </c>
      <c r="F621" s="4">
        <v>787.5</v>
      </c>
      <c r="G621" s="5" t="s">
        <v>1578</v>
      </c>
      <c r="H621" s="6" t="s">
        <v>81</v>
      </c>
      <c r="I621" s="3" t="s">
        <v>19</v>
      </c>
      <c r="J621" s="8" t="s">
        <v>3</v>
      </c>
      <c r="K621" s="67" t="s">
        <v>1582</v>
      </c>
      <c r="L621" s="3"/>
    </row>
    <row r="622" spans="2:12" ht="45" x14ac:dyDescent="0.25">
      <c r="B622" s="3">
        <v>634</v>
      </c>
      <c r="C622" s="3" t="s">
        <v>1468</v>
      </c>
      <c r="D622" s="3" t="s">
        <v>89</v>
      </c>
      <c r="E622" s="40" t="s">
        <v>1808</v>
      </c>
      <c r="F622" s="4">
        <v>360</v>
      </c>
      <c r="G622" s="5" t="s">
        <v>1578</v>
      </c>
      <c r="H622" s="6" t="s">
        <v>81</v>
      </c>
      <c r="I622" s="3" t="s">
        <v>19</v>
      </c>
      <c r="J622" s="8" t="s">
        <v>3</v>
      </c>
      <c r="K622" s="67" t="s">
        <v>1583</v>
      </c>
      <c r="L622" s="3"/>
    </row>
    <row r="623" spans="2:12" ht="45" x14ac:dyDescent="0.25">
      <c r="B623" s="1">
        <v>635</v>
      </c>
      <c r="C623" s="3" t="s">
        <v>801</v>
      </c>
      <c r="D623" s="3" t="s">
        <v>89</v>
      </c>
      <c r="E623" s="40">
        <v>306.02</v>
      </c>
      <c r="F623" s="4">
        <v>360</v>
      </c>
      <c r="G623" s="5" t="s">
        <v>1578</v>
      </c>
      <c r="H623" s="6" t="s">
        <v>81</v>
      </c>
      <c r="I623" s="3" t="s">
        <v>19</v>
      </c>
      <c r="J623" s="8" t="s">
        <v>3</v>
      </c>
      <c r="K623" s="67" t="s">
        <v>1584</v>
      </c>
      <c r="L623" s="3"/>
    </row>
    <row r="624" spans="2:12" ht="45" x14ac:dyDescent="0.25">
      <c r="B624" s="1">
        <v>636</v>
      </c>
      <c r="C624" s="3" t="s">
        <v>1466</v>
      </c>
      <c r="D624" s="3" t="s">
        <v>89</v>
      </c>
      <c r="E624" s="40">
        <v>382.85</v>
      </c>
      <c r="F624" s="4">
        <v>450</v>
      </c>
      <c r="G624" s="5" t="s">
        <v>1578</v>
      </c>
      <c r="H624" s="6" t="s">
        <v>81</v>
      </c>
      <c r="I624" s="3" t="s">
        <v>19</v>
      </c>
      <c r="J624" s="8" t="s">
        <v>3</v>
      </c>
      <c r="K624" s="67" t="s">
        <v>1585</v>
      </c>
      <c r="L624" s="3"/>
    </row>
    <row r="625" spans="2:12" ht="45" x14ac:dyDescent="0.25">
      <c r="B625" s="3">
        <v>637</v>
      </c>
      <c r="C625" s="3" t="s">
        <v>980</v>
      </c>
      <c r="D625" s="3" t="s">
        <v>89</v>
      </c>
      <c r="E625" s="40">
        <v>351</v>
      </c>
      <c r="F625" s="4">
        <v>360</v>
      </c>
      <c r="G625" s="5" t="s">
        <v>1578</v>
      </c>
      <c r="H625" s="6" t="s">
        <v>81</v>
      </c>
      <c r="I625" s="3" t="s">
        <v>19</v>
      </c>
      <c r="J625" s="8" t="s">
        <v>3</v>
      </c>
      <c r="K625" s="67" t="s">
        <v>1586</v>
      </c>
      <c r="L625" s="3"/>
    </row>
    <row r="626" spans="2:12" ht="45" x14ac:dyDescent="0.25">
      <c r="B626" s="3">
        <v>638</v>
      </c>
      <c r="C626" s="3" t="s">
        <v>1469</v>
      </c>
      <c r="D626" s="3" t="s">
        <v>89</v>
      </c>
      <c r="E626" s="40">
        <v>550</v>
      </c>
      <c r="F626" s="4">
        <v>550</v>
      </c>
      <c r="G626" s="5" t="s">
        <v>1578</v>
      </c>
      <c r="H626" s="6" t="s">
        <v>81</v>
      </c>
      <c r="I626" s="3" t="s">
        <v>19</v>
      </c>
      <c r="J626" s="8" t="s">
        <v>3</v>
      </c>
      <c r="K626" s="67" t="s">
        <v>1587</v>
      </c>
      <c r="L626" s="3"/>
    </row>
    <row r="627" spans="2:12" ht="45" x14ac:dyDescent="0.25">
      <c r="B627" s="1">
        <v>639</v>
      </c>
      <c r="C627" s="3" t="s">
        <v>972</v>
      </c>
      <c r="D627" s="3" t="s">
        <v>89</v>
      </c>
      <c r="E627" s="40" t="s">
        <v>1796</v>
      </c>
      <c r="F627" s="4">
        <v>1500</v>
      </c>
      <c r="G627" s="5" t="s">
        <v>1578</v>
      </c>
      <c r="H627" s="6" t="s">
        <v>81</v>
      </c>
      <c r="I627" s="3" t="s">
        <v>19</v>
      </c>
      <c r="J627" s="8" t="s">
        <v>3</v>
      </c>
      <c r="K627" s="67" t="s">
        <v>1588</v>
      </c>
      <c r="L627" s="3"/>
    </row>
    <row r="628" spans="2:12" ht="48" customHeight="1" x14ac:dyDescent="0.25">
      <c r="B628" s="1">
        <v>640</v>
      </c>
      <c r="C628" s="3" t="s">
        <v>103</v>
      </c>
      <c r="D628" s="3" t="s">
        <v>104</v>
      </c>
      <c r="E628" s="40" t="s">
        <v>1801</v>
      </c>
      <c r="F628" s="4">
        <v>6590.7</v>
      </c>
      <c r="G628" s="5" t="s">
        <v>1578</v>
      </c>
      <c r="H628" s="6" t="s">
        <v>81</v>
      </c>
      <c r="I628" s="3" t="s">
        <v>19</v>
      </c>
      <c r="J628" s="8" t="s">
        <v>3</v>
      </c>
      <c r="K628" s="67" t="s">
        <v>1589</v>
      </c>
      <c r="L628" s="3"/>
    </row>
    <row r="629" spans="2:12" ht="45" x14ac:dyDescent="0.25">
      <c r="B629" s="3">
        <v>641</v>
      </c>
      <c r="C629" s="3" t="s">
        <v>623</v>
      </c>
      <c r="D629" s="3" t="s">
        <v>104</v>
      </c>
      <c r="E629" s="40" t="s">
        <v>905</v>
      </c>
      <c r="F629" s="4">
        <v>2210</v>
      </c>
      <c r="G629" s="5" t="s">
        <v>1578</v>
      </c>
      <c r="H629" s="6" t="s">
        <v>81</v>
      </c>
      <c r="I629" s="3" t="s">
        <v>19</v>
      </c>
      <c r="J629" s="8" t="s">
        <v>3</v>
      </c>
      <c r="K629" s="67" t="s">
        <v>1590</v>
      </c>
      <c r="L629" s="3"/>
    </row>
    <row r="630" spans="2:12" ht="45" x14ac:dyDescent="0.25">
      <c r="B630" s="3">
        <v>642</v>
      </c>
      <c r="C630" s="3" t="s">
        <v>1470</v>
      </c>
      <c r="D630" s="3" t="s">
        <v>89</v>
      </c>
      <c r="E630" s="40" t="s">
        <v>1876</v>
      </c>
      <c r="F630" s="4">
        <v>160</v>
      </c>
      <c r="G630" s="5" t="s">
        <v>1591</v>
      </c>
      <c r="H630" s="6" t="s">
        <v>81</v>
      </c>
      <c r="I630" s="3" t="s">
        <v>19</v>
      </c>
      <c r="J630" s="8" t="s">
        <v>3</v>
      </c>
      <c r="K630" s="67" t="s">
        <v>1592</v>
      </c>
      <c r="L630" s="3"/>
    </row>
    <row r="631" spans="2:12" ht="45" x14ac:dyDescent="0.25">
      <c r="B631" s="1">
        <v>643</v>
      </c>
      <c r="C631" s="3" t="s">
        <v>1471</v>
      </c>
      <c r="D631" s="3" t="s">
        <v>85</v>
      </c>
      <c r="E631" s="40" t="s">
        <v>1803</v>
      </c>
      <c r="F631" s="4">
        <v>520</v>
      </c>
      <c r="G631" s="5" t="s">
        <v>1591</v>
      </c>
      <c r="H631" s="6" t="s">
        <v>81</v>
      </c>
      <c r="I631" s="3" t="s">
        <v>19</v>
      </c>
      <c r="J631" s="8" t="s">
        <v>3</v>
      </c>
      <c r="K631" s="67" t="s">
        <v>1593</v>
      </c>
      <c r="L631" s="3"/>
    </row>
    <row r="632" spans="2:12" ht="45" x14ac:dyDescent="0.25">
      <c r="B632" s="1">
        <v>644</v>
      </c>
      <c r="C632" s="3" t="s">
        <v>1471</v>
      </c>
      <c r="D632" s="3" t="s">
        <v>89</v>
      </c>
      <c r="E632" s="40" t="s">
        <v>1408</v>
      </c>
      <c r="F632" s="4">
        <v>720</v>
      </c>
      <c r="G632" s="5" t="s">
        <v>1591</v>
      </c>
      <c r="H632" s="6" t="s">
        <v>81</v>
      </c>
      <c r="I632" s="3" t="s">
        <v>19</v>
      </c>
      <c r="J632" s="8" t="s">
        <v>3</v>
      </c>
      <c r="K632" s="67" t="s">
        <v>1594</v>
      </c>
      <c r="L632" s="3"/>
    </row>
    <row r="633" spans="2:12" ht="45" x14ac:dyDescent="0.25">
      <c r="B633" s="3">
        <v>645</v>
      </c>
      <c r="C633" s="3" t="s">
        <v>170</v>
      </c>
      <c r="D633" s="3" t="s">
        <v>83</v>
      </c>
      <c r="E633" s="40" t="s">
        <v>1806</v>
      </c>
      <c r="F633" s="4">
        <v>2137.5</v>
      </c>
      <c r="G633" s="5" t="s">
        <v>1591</v>
      </c>
      <c r="H633" s="6" t="s">
        <v>81</v>
      </c>
      <c r="I633" s="3" t="s">
        <v>19</v>
      </c>
      <c r="J633" s="8" t="s">
        <v>3</v>
      </c>
      <c r="K633" s="67" t="s">
        <v>1595</v>
      </c>
      <c r="L633" s="3"/>
    </row>
    <row r="634" spans="2:12" ht="45" x14ac:dyDescent="0.25">
      <c r="B634" s="3">
        <v>646</v>
      </c>
      <c r="C634" s="3" t="s">
        <v>986</v>
      </c>
      <c r="D634" s="3" t="s">
        <v>543</v>
      </c>
      <c r="E634" s="40" t="s">
        <v>1805</v>
      </c>
      <c r="F634" s="4">
        <v>4750</v>
      </c>
      <c r="G634" s="5" t="s">
        <v>1591</v>
      </c>
      <c r="H634" s="6" t="s">
        <v>81</v>
      </c>
      <c r="I634" s="3" t="s">
        <v>19</v>
      </c>
      <c r="J634" s="8" t="s">
        <v>3</v>
      </c>
      <c r="K634" s="67" t="s">
        <v>1596</v>
      </c>
      <c r="L634" s="3"/>
    </row>
    <row r="635" spans="2:12" ht="45" x14ac:dyDescent="0.25">
      <c r="B635" s="1">
        <v>647</v>
      </c>
      <c r="C635" s="3" t="s">
        <v>444</v>
      </c>
      <c r="D635" s="3" t="s">
        <v>543</v>
      </c>
      <c r="E635" s="40">
        <v>300</v>
      </c>
      <c r="F635" s="4">
        <v>300</v>
      </c>
      <c r="G635" s="5" t="s">
        <v>1597</v>
      </c>
      <c r="H635" s="6" t="s">
        <v>81</v>
      </c>
      <c r="I635" s="3" t="s">
        <v>19</v>
      </c>
      <c r="J635" s="8" t="s">
        <v>3</v>
      </c>
      <c r="K635" s="67" t="s">
        <v>1598</v>
      </c>
      <c r="L635" s="3"/>
    </row>
    <row r="636" spans="2:12" s="3" customFormat="1" ht="45" x14ac:dyDescent="0.25">
      <c r="B636" s="1">
        <v>648</v>
      </c>
      <c r="C636" s="3" t="s">
        <v>444</v>
      </c>
      <c r="D636" s="3" t="s">
        <v>83</v>
      </c>
      <c r="E636" s="40">
        <v>150</v>
      </c>
      <c r="F636" s="4">
        <v>150</v>
      </c>
      <c r="G636" s="5" t="s">
        <v>1597</v>
      </c>
      <c r="H636" s="6" t="s">
        <v>81</v>
      </c>
      <c r="I636" s="3" t="s">
        <v>19</v>
      </c>
      <c r="J636" s="8" t="s">
        <v>3</v>
      </c>
      <c r="K636" s="67" t="s">
        <v>1599</v>
      </c>
    </row>
    <row r="637" spans="2:12" ht="45" x14ac:dyDescent="0.25">
      <c r="B637" s="3">
        <v>649</v>
      </c>
      <c r="C637" s="3" t="s">
        <v>1472</v>
      </c>
      <c r="D637" s="3" t="s">
        <v>85</v>
      </c>
      <c r="E637" s="40" t="s">
        <v>1807</v>
      </c>
      <c r="F637" s="4">
        <v>1152</v>
      </c>
      <c r="G637" s="5" t="s">
        <v>1597</v>
      </c>
      <c r="H637" s="6" t="s">
        <v>81</v>
      </c>
      <c r="I637" s="3" t="s">
        <v>19</v>
      </c>
      <c r="J637" s="8" t="s">
        <v>3</v>
      </c>
      <c r="K637" s="67" t="s">
        <v>1600</v>
      </c>
      <c r="L637" s="3"/>
    </row>
    <row r="638" spans="2:12" ht="45" x14ac:dyDescent="0.25">
      <c r="B638" s="3">
        <v>650</v>
      </c>
      <c r="C638" s="3" t="s">
        <v>986</v>
      </c>
      <c r="D638" s="3" t="s">
        <v>543</v>
      </c>
      <c r="E638" s="40">
        <v>800</v>
      </c>
      <c r="F638" s="4">
        <v>800</v>
      </c>
      <c r="G638" s="5" t="s">
        <v>1597</v>
      </c>
      <c r="H638" s="6" t="s">
        <v>81</v>
      </c>
      <c r="I638" s="3" t="s">
        <v>19</v>
      </c>
      <c r="J638" s="8" t="s">
        <v>3</v>
      </c>
      <c r="K638" s="67" t="s">
        <v>1601</v>
      </c>
      <c r="L638" s="3"/>
    </row>
    <row r="639" spans="2:12" ht="101.25" x14ac:dyDescent="0.25">
      <c r="B639" s="1">
        <v>651</v>
      </c>
      <c r="C639" s="3" t="s">
        <v>489</v>
      </c>
      <c r="D639" s="3" t="s">
        <v>1473</v>
      </c>
      <c r="E639" s="40" t="s">
        <v>428</v>
      </c>
      <c r="F639" s="4">
        <v>1500</v>
      </c>
      <c r="G639" s="5" t="s">
        <v>1597</v>
      </c>
      <c r="H639" s="6" t="s">
        <v>81</v>
      </c>
      <c r="I639" s="3" t="s">
        <v>19</v>
      </c>
      <c r="J639" s="10" t="s">
        <v>284</v>
      </c>
      <c r="K639" s="67" t="s">
        <v>1602</v>
      </c>
      <c r="L639" s="3"/>
    </row>
    <row r="640" spans="2:12" ht="45" x14ac:dyDescent="0.25">
      <c r="B640" s="1">
        <v>652</v>
      </c>
      <c r="C640" s="3" t="s">
        <v>1192</v>
      </c>
      <c r="D640" s="3" t="s">
        <v>89</v>
      </c>
      <c r="E640" s="40" t="s">
        <v>429</v>
      </c>
      <c r="F640" s="4">
        <v>450</v>
      </c>
      <c r="G640" s="5" t="s">
        <v>1597</v>
      </c>
      <c r="H640" s="6" t="s">
        <v>81</v>
      </c>
      <c r="I640" s="3" t="s">
        <v>19</v>
      </c>
      <c r="J640" s="8" t="s">
        <v>3</v>
      </c>
      <c r="K640" s="67" t="s">
        <v>1603</v>
      </c>
      <c r="L640" s="3"/>
    </row>
    <row r="641" spans="2:12" ht="45" x14ac:dyDescent="0.25">
      <c r="B641" s="3">
        <v>653</v>
      </c>
      <c r="C641" s="3" t="s">
        <v>1474</v>
      </c>
      <c r="D641" s="3" t="s">
        <v>104</v>
      </c>
      <c r="E641" s="40" t="s">
        <v>1804</v>
      </c>
      <c r="F641" s="4">
        <v>602</v>
      </c>
      <c r="G641" s="5" t="s">
        <v>1597</v>
      </c>
      <c r="H641" s="6" t="s">
        <v>81</v>
      </c>
      <c r="I641" s="3" t="s">
        <v>19</v>
      </c>
      <c r="J641" s="8" t="s">
        <v>3</v>
      </c>
      <c r="K641" s="67" t="s">
        <v>1604</v>
      </c>
      <c r="L641" s="3"/>
    </row>
    <row r="642" spans="2:12" ht="101.25" x14ac:dyDescent="0.25">
      <c r="B642" s="3">
        <v>654</v>
      </c>
      <c r="C642" s="3" t="s">
        <v>1475</v>
      </c>
      <c r="D642" s="3" t="s">
        <v>1476</v>
      </c>
      <c r="E642" s="40" t="s">
        <v>1802</v>
      </c>
      <c r="F642" s="4">
        <v>9780</v>
      </c>
      <c r="G642" s="5" t="s">
        <v>1597</v>
      </c>
      <c r="H642" s="6" t="s">
        <v>81</v>
      </c>
      <c r="I642" s="3" t="s">
        <v>19</v>
      </c>
      <c r="J642" s="10" t="s">
        <v>566</v>
      </c>
      <c r="K642" s="67" t="s">
        <v>1605</v>
      </c>
      <c r="L642" s="3"/>
    </row>
    <row r="643" spans="2:12" ht="101.25" x14ac:dyDescent="0.25">
      <c r="B643" s="1">
        <v>655</v>
      </c>
      <c r="C643" s="3" t="s">
        <v>601</v>
      </c>
      <c r="D643" s="3" t="s">
        <v>1235</v>
      </c>
      <c r="E643" s="40" t="s">
        <v>1814</v>
      </c>
      <c r="F643" s="4" t="s">
        <v>1814</v>
      </c>
      <c r="G643" s="5" t="s">
        <v>1606</v>
      </c>
      <c r="H643" s="6" t="s">
        <v>81</v>
      </c>
      <c r="I643" s="3" t="s">
        <v>19</v>
      </c>
      <c r="J643" s="10" t="s">
        <v>566</v>
      </c>
      <c r="K643" s="67" t="s">
        <v>1607</v>
      </c>
      <c r="L643" s="3"/>
    </row>
    <row r="644" spans="2:12" ht="101.25" x14ac:dyDescent="0.25">
      <c r="B644" s="1">
        <v>656</v>
      </c>
      <c r="C644" s="3" t="s">
        <v>1193</v>
      </c>
      <c r="D644" s="3" t="s">
        <v>1477</v>
      </c>
      <c r="E644" s="40">
        <f>26887.91+98357.84+18000+93668.03+86787.22+71064.76</f>
        <v>394765.76</v>
      </c>
      <c r="F644" s="4">
        <v>474196.93</v>
      </c>
      <c r="G644" s="5" t="s">
        <v>1606</v>
      </c>
      <c r="H644" s="6" t="s">
        <v>81</v>
      </c>
      <c r="I644" s="3" t="s">
        <v>19</v>
      </c>
      <c r="J644" s="10" t="s">
        <v>1608</v>
      </c>
      <c r="K644" s="67" t="s">
        <v>1609</v>
      </c>
      <c r="L644" s="3"/>
    </row>
    <row r="645" spans="2:12" ht="45" x14ac:dyDescent="0.25">
      <c r="B645" s="3">
        <v>657</v>
      </c>
      <c r="C645" s="3" t="s">
        <v>645</v>
      </c>
      <c r="D645" s="3" t="s">
        <v>89</v>
      </c>
      <c r="E645" s="40">
        <v>448.3</v>
      </c>
      <c r="F645" s="4">
        <v>450</v>
      </c>
      <c r="G645" s="5" t="s">
        <v>1606</v>
      </c>
      <c r="H645" s="6" t="s">
        <v>81</v>
      </c>
      <c r="I645" s="3" t="s">
        <v>19</v>
      </c>
      <c r="J645" s="8" t="s">
        <v>3</v>
      </c>
      <c r="K645" s="67" t="s">
        <v>1610</v>
      </c>
      <c r="L645" s="3"/>
    </row>
    <row r="646" spans="2:12" ht="22.5" x14ac:dyDescent="0.25">
      <c r="B646" s="3">
        <v>658</v>
      </c>
      <c r="C646" s="3" t="s">
        <v>1478</v>
      </c>
      <c r="D646" s="3" t="s">
        <v>1479</v>
      </c>
      <c r="E646" s="41">
        <f>8145+3080</f>
        <v>11225</v>
      </c>
      <c r="F646" s="4">
        <v>11225</v>
      </c>
      <c r="G646" s="5" t="s">
        <v>1611</v>
      </c>
      <c r="H646" s="6" t="s">
        <v>26</v>
      </c>
      <c r="I646" s="3" t="s">
        <v>9</v>
      </c>
      <c r="J646" s="3" t="s">
        <v>1612</v>
      </c>
      <c r="K646" s="67"/>
      <c r="L646" s="3"/>
    </row>
    <row r="647" spans="2:12" ht="45" x14ac:dyDescent="0.25">
      <c r="B647" s="1">
        <v>659</v>
      </c>
      <c r="C647" s="3" t="s">
        <v>622</v>
      </c>
      <c r="D647" s="3" t="s">
        <v>85</v>
      </c>
      <c r="E647" s="40" t="s">
        <v>1813</v>
      </c>
      <c r="F647" s="4">
        <v>1520.23</v>
      </c>
      <c r="G647" s="5" t="s">
        <v>1613</v>
      </c>
      <c r="H647" s="6" t="s">
        <v>81</v>
      </c>
      <c r="I647" s="3" t="s">
        <v>19</v>
      </c>
      <c r="J647" s="8" t="s">
        <v>3</v>
      </c>
      <c r="K647" s="67" t="s">
        <v>1614</v>
      </c>
      <c r="L647" s="3"/>
    </row>
    <row r="648" spans="2:12" ht="45" x14ac:dyDescent="0.25">
      <c r="B648" s="1">
        <v>660</v>
      </c>
      <c r="C648" s="3" t="s">
        <v>1480</v>
      </c>
      <c r="D648" s="3" t="s">
        <v>83</v>
      </c>
      <c r="E648" s="40" t="s">
        <v>1112</v>
      </c>
      <c r="F648" s="4">
        <v>1000</v>
      </c>
      <c r="G648" s="5" t="s">
        <v>1613</v>
      </c>
      <c r="H648" s="6" t="s">
        <v>81</v>
      </c>
      <c r="I648" s="3" t="s">
        <v>19</v>
      </c>
      <c r="J648" s="8" t="s">
        <v>3</v>
      </c>
      <c r="K648" s="67" t="s">
        <v>1615</v>
      </c>
      <c r="L648" s="3"/>
    </row>
    <row r="649" spans="2:12" ht="45" x14ac:dyDescent="0.25">
      <c r="B649" s="3">
        <v>661</v>
      </c>
      <c r="C649" s="3" t="s">
        <v>542</v>
      </c>
      <c r="D649" s="3" t="s">
        <v>543</v>
      </c>
      <c r="E649" s="40">
        <v>910</v>
      </c>
      <c r="F649" s="4">
        <v>910</v>
      </c>
      <c r="G649" s="5" t="s">
        <v>1616</v>
      </c>
      <c r="H649" s="6" t="s">
        <v>81</v>
      </c>
      <c r="I649" s="3" t="s">
        <v>19</v>
      </c>
      <c r="J649" s="8" t="s">
        <v>3</v>
      </c>
      <c r="K649" s="67" t="s">
        <v>1617</v>
      </c>
      <c r="L649" s="3"/>
    </row>
    <row r="650" spans="2:12" ht="45" x14ac:dyDescent="0.25">
      <c r="B650" s="3">
        <v>662</v>
      </c>
      <c r="C650" s="3" t="s">
        <v>1481</v>
      </c>
      <c r="D650" s="3" t="s">
        <v>85</v>
      </c>
      <c r="E650" s="40">
        <v>450</v>
      </c>
      <c r="F650" s="4">
        <v>450</v>
      </c>
      <c r="G650" s="5" t="s">
        <v>1616</v>
      </c>
      <c r="H650" s="6" t="s">
        <v>81</v>
      </c>
      <c r="I650" s="3" t="s">
        <v>19</v>
      </c>
      <c r="J650" s="8" t="s">
        <v>3</v>
      </c>
      <c r="K650" s="67" t="s">
        <v>1618</v>
      </c>
      <c r="L650" s="3"/>
    </row>
    <row r="651" spans="2:12" ht="45" x14ac:dyDescent="0.25">
      <c r="B651" s="1">
        <v>663</v>
      </c>
      <c r="C651" s="3" t="s">
        <v>1482</v>
      </c>
      <c r="D651" s="3" t="s">
        <v>89</v>
      </c>
      <c r="E651" s="40">
        <v>103.95</v>
      </c>
      <c r="F651" s="4">
        <v>200</v>
      </c>
      <c r="G651" s="5" t="s">
        <v>1616</v>
      </c>
      <c r="H651" s="6" t="s">
        <v>81</v>
      </c>
      <c r="I651" s="3" t="s">
        <v>19</v>
      </c>
      <c r="J651" s="8" t="s">
        <v>3</v>
      </c>
      <c r="K651" s="67" t="s">
        <v>1619</v>
      </c>
      <c r="L651" s="3"/>
    </row>
    <row r="652" spans="2:12" ht="45" x14ac:dyDescent="0.25">
      <c r="B652" s="1">
        <v>664</v>
      </c>
      <c r="C652" s="3" t="s">
        <v>1483</v>
      </c>
      <c r="D652" s="3" t="s">
        <v>89</v>
      </c>
      <c r="E652" s="40">
        <v>125</v>
      </c>
      <c r="F652" s="4">
        <v>200</v>
      </c>
      <c r="G652" s="5" t="s">
        <v>1616</v>
      </c>
      <c r="H652" s="6" t="s">
        <v>81</v>
      </c>
      <c r="I652" s="3" t="s">
        <v>19</v>
      </c>
      <c r="J652" s="8" t="s">
        <v>3</v>
      </c>
      <c r="K652" s="67" t="s">
        <v>1620</v>
      </c>
      <c r="L652" s="3"/>
    </row>
    <row r="653" spans="2:12" ht="45" x14ac:dyDescent="0.25">
      <c r="B653" s="3">
        <v>665</v>
      </c>
      <c r="C653" s="3" t="s">
        <v>1481</v>
      </c>
      <c r="D653" s="3" t="s">
        <v>89</v>
      </c>
      <c r="E653" s="40" t="s">
        <v>1830</v>
      </c>
      <c r="F653" s="4">
        <v>240</v>
      </c>
      <c r="G653" s="5" t="s">
        <v>1616</v>
      </c>
      <c r="H653" s="6" t="s">
        <v>81</v>
      </c>
      <c r="I653" s="3" t="s">
        <v>19</v>
      </c>
      <c r="J653" s="8" t="s">
        <v>3</v>
      </c>
      <c r="K653" s="67" t="s">
        <v>1621</v>
      </c>
      <c r="L653" s="3"/>
    </row>
    <row r="654" spans="2:12" ht="45" x14ac:dyDescent="0.25">
      <c r="B654" s="3">
        <v>666</v>
      </c>
      <c r="C654" s="3" t="s">
        <v>1467</v>
      </c>
      <c r="D654" s="3" t="s">
        <v>85</v>
      </c>
      <c r="E654" s="40" t="s">
        <v>1821</v>
      </c>
      <c r="F654" s="4" t="s">
        <v>1822</v>
      </c>
      <c r="G654" s="5" t="s">
        <v>1616</v>
      </c>
      <c r="H654" s="6" t="s">
        <v>81</v>
      </c>
      <c r="I654" s="3" t="s">
        <v>19</v>
      </c>
      <c r="J654" s="8" t="s">
        <v>3</v>
      </c>
      <c r="K654" s="67" t="s">
        <v>1622</v>
      </c>
      <c r="L654" s="3"/>
    </row>
    <row r="655" spans="2:12" ht="45" x14ac:dyDescent="0.25">
      <c r="B655" s="1">
        <v>667</v>
      </c>
      <c r="C655" s="3" t="s">
        <v>393</v>
      </c>
      <c r="D655" s="3" t="s">
        <v>83</v>
      </c>
      <c r="E655" s="40" t="s">
        <v>1835</v>
      </c>
      <c r="F655" s="4">
        <v>3562.5</v>
      </c>
      <c r="G655" s="5" t="s">
        <v>1616</v>
      </c>
      <c r="H655" s="6" t="s">
        <v>81</v>
      </c>
      <c r="I655" s="3" t="s">
        <v>19</v>
      </c>
      <c r="J655" s="8" t="s">
        <v>3</v>
      </c>
      <c r="K655" s="67" t="s">
        <v>1623</v>
      </c>
      <c r="L655" s="3"/>
    </row>
    <row r="656" spans="2:12" ht="45" x14ac:dyDescent="0.25">
      <c r="B656" s="1">
        <v>668</v>
      </c>
      <c r="C656" s="3" t="s">
        <v>393</v>
      </c>
      <c r="D656" s="3" t="s">
        <v>543</v>
      </c>
      <c r="E656" s="40" t="s">
        <v>1836</v>
      </c>
      <c r="F656" s="4">
        <v>3937.5</v>
      </c>
      <c r="G656" s="5" t="s">
        <v>1616</v>
      </c>
      <c r="H656" s="6" t="s">
        <v>81</v>
      </c>
      <c r="I656" s="3" t="s">
        <v>19</v>
      </c>
      <c r="J656" s="8" t="s">
        <v>3</v>
      </c>
      <c r="K656" s="67" t="s">
        <v>1624</v>
      </c>
      <c r="L656" s="22"/>
    </row>
    <row r="657" spans="2:12" ht="45" x14ac:dyDescent="0.25">
      <c r="B657" s="3">
        <v>669</v>
      </c>
      <c r="C657" s="3" t="s">
        <v>623</v>
      </c>
      <c r="D657" s="3" t="s">
        <v>104</v>
      </c>
      <c r="E657" s="40" t="s">
        <v>1818</v>
      </c>
      <c r="F657" s="4">
        <v>7276</v>
      </c>
      <c r="G657" s="5" t="s">
        <v>1616</v>
      </c>
      <c r="H657" s="6" t="s">
        <v>81</v>
      </c>
      <c r="I657" s="3" t="s">
        <v>19</v>
      </c>
      <c r="J657" s="8" t="s">
        <v>3</v>
      </c>
      <c r="K657" s="67" t="s">
        <v>1625</v>
      </c>
      <c r="L657" s="3"/>
    </row>
    <row r="658" spans="2:12" ht="45" x14ac:dyDescent="0.25">
      <c r="B658" s="3">
        <v>670</v>
      </c>
      <c r="C658" s="3" t="s">
        <v>103</v>
      </c>
      <c r="D658" s="3" t="s">
        <v>104</v>
      </c>
      <c r="E658" s="40" t="s">
        <v>1817</v>
      </c>
      <c r="F658" s="4">
        <v>8800</v>
      </c>
      <c r="G658" s="5" t="s">
        <v>1616</v>
      </c>
      <c r="H658" s="6" t="s">
        <v>81</v>
      </c>
      <c r="I658" s="3" t="s">
        <v>19</v>
      </c>
      <c r="J658" s="8" t="s">
        <v>3</v>
      </c>
      <c r="K658" s="67" t="s">
        <v>1626</v>
      </c>
      <c r="L658" s="3"/>
    </row>
    <row r="659" spans="2:12" ht="45" x14ac:dyDescent="0.25">
      <c r="B659" s="1">
        <v>671</v>
      </c>
      <c r="C659" s="3" t="s">
        <v>986</v>
      </c>
      <c r="D659" s="3" t="s">
        <v>543</v>
      </c>
      <c r="E659" s="40">
        <v>660</v>
      </c>
      <c r="F659" s="4">
        <v>660</v>
      </c>
      <c r="G659" s="5" t="s">
        <v>1627</v>
      </c>
      <c r="H659" s="6" t="s">
        <v>81</v>
      </c>
      <c r="I659" s="3" t="s">
        <v>19</v>
      </c>
      <c r="J659" s="8" t="s">
        <v>3</v>
      </c>
      <c r="K659" s="67" t="s">
        <v>1628</v>
      </c>
      <c r="L659" s="3"/>
    </row>
    <row r="660" spans="2:12" ht="45" x14ac:dyDescent="0.25">
      <c r="B660" s="1">
        <v>672</v>
      </c>
      <c r="C660" s="3" t="s">
        <v>645</v>
      </c>
      <c r="D660" s="3" t="s">
        <v>89</v>
      </c>
      <c r="E660" s="40">
        <v>200.2</v>
      </c>
      <c r="F660" s="4">
        <v>250</v>
      </c>
      <c r="G660" s="5" t="s">
        <v>1627</v>
      </c>
      <c r="H660" s="6" t="s">
        <v>81</v>
      </c>
      <c r="I660" s="3" t="s">
        <v>19</v>
      </c>
      <c r="J660" s="8" t="s">
        <v>3</v>
      </c>
      <c r="K660" s="67" t="s">
        <v>1629</v>
      </c>
      <c r="L660" s="3"/>
    </row>
    <row r="661" spans="2:12" ht="45" x14ac:dyDescent="0.25">
      <c r="B661" s="3">
        <v>673</v>
      </c>
      <c r="C661" s="3" t="s">
        <v>497</v>
      </c>
      <c r="D661" s="3" t="s">
        <v>89</v>
      </c>
      <c r="E661" s="40" t="s">
        <v>1843</v>
      </c>
      <c r="F661" s="4">
        <v>100</v>
      </c>
      <c r="G661" s="5" t="s">
        <v>1627</v>
      </c>
      <c r="H661" s="6" t="s">
        <v>81</v>
      </c>
      <c r="I661" s="3" t="s">
        <v>19</v>
      </c>
      <c r="J661" s="8" t="s">
        <v>3</v>
      </c>
      <c r="K661" s="67" t="s">
        <v>1630</v>
      </c>
      <c r="L661" s="3"/>
    </row>
    <row r="662" spans="2:12" ht="45" x14ac:dyDescent="0.25">
      <c r="B662" s="1">
        <v>675</v>
      </c>
      <c r="C662" s="3" t="s">
        <v>612</v>
      </c>
      <c r="D662" s="3" t="s">
        <v>85</v>
      </c>
      <c r="E662" s="40">
        <v>380</v>
      </c>
      <c r="F662" s="4">
        <v>380</v>
      </c>
      <c r="G662" s="5" t="s">
        <v>1627</v>
      </c>
      <c r="H662" s="6" t="s">
        <v>81</v>
      </c>
      <c r="I662" s="3" t="s">
        <v>19</v>
      </c>
      <c r="J662" s="8" t="s">
        <v>3</v>
      </c>
      <c r="K662" s="67" t="s">
        <v>1631</v>
      </c>
      <c r="L662" s="3"/>
    </row>
    <row r="663" spans="2:12" ht="45" x14ac:dyDescent="0.25">
      <c r="B663" s="1">
        <v>676</v>
      </c>
      <c r="C663" s="3" t="s">
        <v>170</v>
      </c>
      <c r="D663" s="3" t="s">
        <v>83</v>
      </c>
      <c r="E663" s="40" t="s">
        <v>1810</v>
      </c>
      <c r="F663" s="4">
        <v>925</v>
      </c>
      <c r="G663" s="5" t="s">
        <v>1627</v>
      </c>
      <c r="H663" s="6" t="s">
        <v>81</v>
      </c>
      <c r="I663" s="3" t="s">
        <v>19</v>
      </c>
      <c r="J663" s="72" t="s">
        <v>3</v>
      </c>
      <c r="K663" s="73" t="s">
        <v>1632</v>
      </c>
      <c r="L663" s="3"/>
    </row>
    <row r="664" spans="2:12" ht="45" x14ac:dyDescent="0.25">
      <c r="B664" s="3">
        <v>677</v>
      </c>
      <c r="C664" s="3" t="s">
        <v>444</v>
      </c>
      <c r="D664" s="3" t="s">
        <v>83</v>
      </c>
      <c r="E664" s="40" t="s">
        <v>1823</v>
      </c>
      <c r="F664" s="4">
        <v>2350</v>
      </c>
      <c r="G664" s="5" t="s">
        <v>1627</v>
      </c>
      <c r="H664" s="6" t="s">
        <v>81</v>
      </c>
      <c r="I664" s="3" t="s">
        <v>19</v>
      </c>
      <c r="J664" s="72" t="s">
        <v>3</v>
      </c>
      <c r="K664" s="67" t="s">
        <v>1633</v>
      </c>
      <c r="L664" s="3"/>
    </row>
    <row r="665" spans="2:12" ht="45" x14ac:dyDescent="0.25">
      <c r="B665" s="3">
        <v>678</v>
      </c>
      <c r="C665" s="3" t="s">
        <v>444</v>
      </c>
      <c r="D665" s="3" t="s">
        <v>543</v>
      </c>
      <c r="E665" s="40" t="s">
        <v>1824</v>
      </c>
      <c r="F665" s="4">
        <v>4050</v>
      </c>
      <c r="G665" s="5" t="s">
        <v>1627</v>
      </c>
      <c r="H665" s="6" t="s">
        <v>81</v>
      </c>
      <c r="I665" s="3" t="s">
        <v>19</v>
      </c>
      <c r="J665" s="72" t="s">
        <v>3</v>
      </c>
      <c r="K665" s="67" t="s">
        <v>1634</v>
      </c>
      <c r="L665" s="3"/>
    </row>
    <row r="666" spans="2:12" ht="45" x14ac:dyDescent="0.25">
      <c r="B666" s="1">
        <v>679</v>
      </c>
      <c r="C666" s="3" t="s">
        <v>103</v>
      </c>
      <c r="D666" s="3" t="s">
        <v>104</v>
      </c>
      <c r="E666" s="40" t="s">
        <v>2033</v>
      </c>
      <c r="F666" s="4">
        <v>2399</v>
      </c>
      <c r="G666" s="5" t="s">
        <v>1627</v>
      </c>
      <c r="H666" s="6" t="s">
        <v>81</v>
      </c>
      <c r="I666" s="3" t="s">
        <v>19</v>
      </c>
      <c r="J666" s="72" t="s">
        <v>3</v>
      </c>
      <c r="K666" s="67" t="s">
        <v>1635</v>
      </c>
      <c r="L666" s="3"/>
    </row>
    <row r="667" spans="2:12" ht="45" x14ac:dyDescent="0.25">
      <c r="B667" s="1">
        <v>680</v>
      </c>
      <c r="C667" s="3" t="s">
        <v>798</v>
      </c>
      <c r="D667" s="3" t="s">
        <v>89</v>
      </c>
      <c r="E667" s="40" t="s">
        <v>1820</v>
      </c>
      <c r="F667" s="4">
        <v>100</v>
      </c>
      <c r="G667" s="5" t="s">
        <v>1636</v>
      </c>
      <c r="H667" s="6" t="s">
        <v>81</v>
      </c>
      <c r="I667" s="3" t="s">
        <v>19</v>
      </c>
      <c r="J667" s="72" t="s">
        <v>3</v>
      </c>
      <c r="K667" s="67" t="s">
        <v>1637</v>
      </c>
      <c r="L667" s="3"/>
    </row>
    <row r="668" spans="2:12" ht="45" x14ac:dyDescent="0.25">
      <c r="B668" s="3">
        <v>681</v>
      </c>
      <c r="C668" s="3" t="s">
        <v>1484</v>
      </c>
      <c r="D668" s="3" t="s">
        <v>89</v>
      </c>
      <c r="E668" s="40">
        <v>100</v>
      </c>
      <c r="F668" s="4">
        <v>100</v>
      </c>
      <c r="G668" s="5" t="s">
        <v>1636</v>
      </c>
      <c r="H668" s="6" t="s">
        <v>81</v>
      </c>
      <c r="I668" s="3" t="s">
        <v>19</v>
      </c>
      <c r="J668" s="72" t="s">
        <v>3</v>
      </c>
      <c r="K668" s="67" t="s">
        <v>1638</v>
      </c>
      <c r="L668" s="3"/>
    </row>
    <row r="669" spans="2:12" ht="45" x14ac:dyDescent="0.25">
      <c r="B669" s="3">
        <v>682</v>
      </c>
      <c r="C669" s="3" t="s">
        <v>103</v>
      </c>
      <c r="D669" s="3" t="s">
        <v>104</v>
      </c>
      <c r="E669" s="40" t="s">
        <v>2034</v>
      </c>
      <c r="F669" s="4">
        <v>3369.9</v>
      </c>
      <c r="G669" s="5" t="s">
        <v>1639</v>
      </c>
      <c r="H669" s="6" t="s">
        <v>81</v>
      </c>
      <c r="I669" s="3" t="s">
        <v>19</v>
      </c>
      <c r="J669" s="72" t="s">
        <v>3</v>
      </c>
      <c r="K669" s="67" t="s">
        <v>1640</v>
      </c>
      <c r="L669" s="3"/>
    </row>
    <row r="670" spans="2:12" ht="101.25" x14ac:dyDescent="0.25">
      <c r="B670" s="1">
        <v>683</v>
      </c>
      <c r="C670" s="3" t="s">
        <v>1485</v>
      </c>
      <c r="D670" s="3" t="s">
        <v>1215</v>
      </c>
      <c r="E670" s="40">
        <v>466.22</v>
      </c>
      <c r="F670" s="4">
        <v>466.22</v>
      </c>
      <c r="G670" s="5" t="s">
        <v>1639</v>
      </c>
      <c r="H670" s="6" t="s">
        <v>81</v>
      </c>
      <c r="I670" s="3" t="s">
        <v>19</v>
      </c>
      <c r="J670" s="10" t="s">
        <v>566</v>
      </c>
      <c r="K670" s="67" t="s">
        <v>1641</v>
      </c>
      <c r="L670" s="3"/>
    </row>
    <row r="671" spans="2:12" ht="101.25" x14ac:dyDescent="0.25">
      <c r="B671" s="1">
        <v>684</v>
      </c>
      <c r="C671" s="3" t="s">
        <v>1485</v>
      </c>
      <c r="D671" s="3" t="s">
        <v>1215</v>
      </c>
      <c r="E671" s="40">
        <v>466.22</v>
      </c>
      <c r="F671" s="4">
        <v>466.22</v>
      </c>
      <c r="G671" s="5" t="s">
        <v>1639</v>
      </c>
      <c r="H671" s="6" t="s">
        <v>81</v>
      </c>
      <c r="I671" s="3" t="s">
        <v>19</v>
      </c>
      <c r="J671" s="10" t="s">
        <v>566</v>
      </c>
      <c r="K671" s="67" t="s">
        <v>1642</v>
      </c>
      <c r="L671" s="3"/>
    </row>
    <row r="672" spans="2:12" ht="45" x14ac:dyDescent="0.25">
      <c r="B672" s="3">
        <v>685</v>
      </c>
      <c r="C672" s="3" t="s">
        <v>1486</v>
      </c>
      <c r="D672" s="3" t="s">
        <v>85</v>
      </c>
      <c r="E672" s="40">
        <v>280</v>
      </c>
      <c r="F672" s="4">
        <v>280</v>
      </c>
      <c r="G672" s="5" t="s">
        <v>1643</v>
      </c>
      <c r="H672" s="6" t="s">
        <v>81</v>
      </c>
      <c r="I672" s="3" t="s">
        <v>19</v>
      </c>
      <c r="J672" s="72" t="s">
        <v>3</v>
      </c>
      <c r="K672" s="67" t="s">
        <v>1644</v>
      </c>
      <c r="L672" s="3"/>
    </row>
    <row r="673" spans="2:12" ht="45" x14ac:dyDescent="0.25">
      <c r="B673" s="3">
        <v>686</v>
      </c>
      <c r="C673" s="3" t="s">
        <v>1487</v>
      </c>
      <c r="D673" s="3" t="s">
        <v>85</v>
      </c>
      <c r="E673" s="40">
        <v>120</v>
      </c>
      <c r="F673" s="4">
        <v>120</v>
      </c>
      <c r="G673" s="5" t="s">
        <v>1643</v>
      </c>
      <c r="H673" s="6" t="s">
        <v>81</v>
      </c>
      <c r="I673" s="3" t="s">
        <v>19</v>
      </c>
      <c r="J673" s="72" t="s">
        <v>3</v>
      </c>
      <c r="K673" s="67" t="s">
        <v>1645</v>
      </c>
      <c r="L673" s="3"/>
    </row>
    <row r="674" spans="2:12" ht="45" x14ac:dyDescent="0.25">
      <c r="B674" s="1">
        <v>687</v>
      </c>
      <c r="C674" s="3" t="s">
        <v>1488</v>
      </c>
      <c r="D674" s="3" t="s">
        <v>89</v>
      </c>
      <c r="E674" s="40">
        <v>100</v>
      </c>
      <c r="F674" s="4">
        <v>100</v>
      </c>
      <c r="G674" s="5" t="s">
        <v>1643</v>
      </c>
      <c r="H674" s="6" t="s">
        <v>81</v>
      </c>
      <c r="I674" s="3" t="s">
        <v>19</v>
      </c>
      <c r="J674" s="72" t="s">
        <v>3</v>
      </c>
      <c r="K674" s="67" t="s">
        <v>1646</v>
      </c>
      <c r="L674" s="3"/>
    </row>
    <row r="675" spans="2:12" ht="45" x14ac:dyDescent="0.25">
      <c r="B675" s="1">
        <v>688</v>
      </c>
      <c r="C675" s="3" t="s">
        <v>1489</v>
      </c>
      <c r="D675" s="3" t="s">
        <v>85</v>
      </c>
      <c r="E675" s="40" t="s">
        <v>1326</v>
      </c>
      <c r="F675" s="4">
        <v>200</v>
      </c>
      <c r="G675" s="5" t="s">
        <v>1643</v>
      </c>
      <c r="H675" s="6" t="s">
        <v>81</v>
      </c>
      <c r="I675" s="3" t="s">
        <v>19</v>
      </c>
      <c r="J675" s="72" t="s">
        <v>3</v>
      </c>
      <c r="K675" s="67" t="s">
        <v>1647</v>
      </c>
      <c r="L675" s="3"/>
    </row>
    <row r="676" spans="2:12" ht="101.25" x14ac:dyDescent="0.25">
      <c r="B676" s="3">
        <v>689</v>
      </c>
      <c r="C676" s="3" t="s">
        <v>1490</v>
      </c>
      <c r="D676" s="3" t="s">
        <v>1491</v>
      </c>
      <c r="E676" s="40">
        <v>884.16</v>
      </c>
      <c r="F676" s="4">
        <v>884.16</v>
      </c>
      <c r="G676" s="5" t="s">
        <v>1643</v>
      </c>
      <c r="H676" s="6" t="s">
        <v>81</v>
      </c>
      <c r="I676" s="3" t="s">
        <v>19</v>
      </c>
      <c r="J676" s="10" t="s">
        <v>566</v>
      </c>
      <c r="K676" s="67" t="s">
        <v>1648</v>
      </c>
      <c r="L676" s="3"/>
    </row>
    <row r="677" spans="2:12" ht="45" x14ac:dyDescent="0.25">
      <c r="B677" s="3">
        <v>690</v>
      </c>
      <c r="C677" s="3" t="s">
        <v>444</v>
      </c>
      <c r="D677" s="3" t="s">
        <v>543</v>
      </c>
      <c r="E677" s="40" t="s">
        <v>1838</v>
      </c>
      <c r="F677" s="4">
        <v>2550</v>
      </c>
      <c r="G677" s="5" t="s">
        <v>1649</v>
      </c>
      <c r="H677" s="6" t="s">
        <v>81</v>
      </c>
      <c r="I677" s="3" t="s">
        <v>19</v>
      </c>
      <c r="J677" s="10" t="s">
        <v>3</v>
      </c>
      <c r="K677" s="67" t="s">
        <v>1650</v>
      </c>
      <c r="L677" s="3"/>
    </row>
    <row r="678" spans="2:12" ht="45" x14ac:dyDescent="0.25">
      <c r="B678" s="1">
        <v>691</v>
      </c>
      <c r="C678" s="3" t="s">
        <v>645</v>
      </c>
      <c r="D678" s="3" t="s">
        <v>89</v>
      </c>
      <c r="E678" s="40">
        <v>149.6</v>
      </c>
      <c r="F678" s="4">
        <v>150</v>
      </c>
      <c r="G678" s="5" t="s">
        <v>1649</v>
      </c>
      <c r="H678" s="6" t="s">
        <v>81</v>
      </c>
      <c r="I678" s="3" t="s">
        <v>19</v>
      </c>
      <c r="J678" s="10" t="s">
        <v>3</v>
      </c>
      <c r="K678" s="67" t="s">
        <v>1651</v>
      </c>
      <c r="L678" s="3"/>
    </row>
    <row r="679" spans="2:12" ht="45" x14ac:dyDescent="0.25">
      <c r="B679" s="1">
        <v>692</v>
      </c>
      <c r="C679" s="3" t="s">
        <v>1492</v>
      </c>
      <c r="D679" s="3" t="s">
        <v>89</v>
      </c>
      <c r="E679" s="40" t="s">
        <v>430</v>
      </c>
      <c r="F679" s="4">
        <v>120</v>
      </c>
      <c r="G679" s="5" t="s">
        <v>1649</v>
      </c>
      <c r="H679" s="6" t="s">
        <v>81</v>
      </c>
      <c r="I679" s="3" t="s">
        <v>19</v>
      </c>
      <c r="J679" s="10" t="s">
        <v>3</v>
      </c>
      <c r="K679" s="67" t="s">
        <v>1652</v>
      </c>
      <c r="L679" s="3"/>
    </row>
    <row r="680" spans="2:12" ht="45" x14ac:dyDescent="0.25">
      <c r="B680" s="3">
        <v>693</v>
      </c>
      <c r="C680" s="12" t="s">
        <v>170</v>
      </c>
      <c r="D680" s="3" t="s">
        <v>83</v>
      </c>
      <c r="E680" s="40" t="s">
        <v>1837</v>
      </c>
      <c r="F680" s="4">
        <v>2243.75</v>
      </c>
      <c r="G680" s="5" t="s">
        <v>1649</v>
      </c>
      <c r="H680" s="6" t="s">
        <v>81</v>
      </c>
      <c r="I680" s="3" t="s">
        <v>19</v>
      </c>
      <c r="J680" s="10" t="s">
        <v>3</v>
      </c>
      <c r="K680" s="67" t="s">
        <v>1653</v>
      </c>
      <c r="L680" s="3"/>
    </row>
    <row r="681" spans="2:12" ht="45" x14ac:dyDescent="0.25">
      <c r="B681" s="3">
        <v>694</v>
      </c>
      <c r="C681" s="3" t="s">
        <v>1493</v>
      </c>
      <c r="D681" s="3" t="s">
        <v>85</v>
      </c>
      <c r="E681" s="40">
        <v>510</v>
      </c>
      <c r="F681" s="4">
        <v>510</v>
      </c>
      <c r="G681" s="5" t="s">
        <v>1649</v>
      </c>
      <c r="H681" s="6" t="s">
        <v>81</v>
      </c>
      <c r="I681" s="3" t="s">
        <v>19</v>
      </c>
      <c r="J681" s="10" t="s">
        <v>3</v>
      </c>
      <c r="K681" s="67" t="s">
        <v>1654</v>
      </c>
      <c r="L681" s="3"/>
    </row>
    <row r="682" spans="2:12" ht="45" x14ac:dyDescent="0.25">
      <c r="B682" s="1">
        <v>695</v>
      </c>
      <c r="C682" s="3" t="s">
        <v>1494</v>
      </c>
      <c r="D682" s="3" t="s">
        <v>85</v>
      </c>
      <c r="E682" s="40">
        <v>594</v>
      </c>
      <c r="F682" s="4">
        <v>594</v>
      </c>
      <c r="G682" s="5" t="s">
        <v>1649</v>
      </c>
      <c r="H682" s="6" t="s">
        <v>81</v>
      </c>
      <c r="I682" s="3" t="s">
        <v>19</v>
      </c>
      <c r="J682" s="10" t="s">
        <v>3</v>
      </c>
      <c r="K682" s="67" t="s">
        <v>1655</v>
      </c>
      <c r="L682" s="3"/>
    </row>
    <row r="683" spans="2:12" ht="101.25" x14ac:dyDescent="0.25">
      <c r="B683" s="1">
        <v>696</v>
      </c>
      <c r="C683" s="3" t="s">
        <v>547</v>
      </c>
      <c r="D683" s="3" t="s">
        <v>548</v>
      </c>
      <c r="E683" s="40" t="s">
        <v>1839</v>
      </c>
      <c r="F683" s="4">
        <v>1680</v>
      </c>
      <c r="G683" s="5" t="s">
        <v>1649</v>
      </c>
      <c r="H683" s="6" t="s">
        <v>81</v>
      </c>
      <c r="I683" s="3" t="s">
        <v>19</v>
      </c>
      <c r="J683" s="10" t="s">
        <v>566</v>
      </c>
      <c r="K683" s="67" t="s">
        <v>1656</v>
      </c>
      <c r="L683" s="3"/>
    </row>
    <row r="684" spans="2:12" ht="45" x14ac:dyDescent="0.25">
      <c r="B684" s="3">
        <v>697</v>
      </c>
      <c r="C684" s="3" t="s">
        <v>103</v>
      </c>
      <c r="D684" s="3" t="s">
        <v>104</v>
      </c>
      <c r="E684" s="40" t="s">
        <v>1834</v>
      </c>
      <c r="F684" s="4">
        <v>63000</v>
      </c>
      <c r="G684" s="5" t="s">
        <v>1649</v>
      </c>
      <c r="H684" s="6" t="s">
        <v>81</v>
      </c>
      <c r="I684" s="3" t="s">
        <v>19</v>
      </c>
      <c r="J684" s="10" t="s">
        <v>3</v>
      </c>
      <c r="K684" s="67" t="s">
        <v>1657</v>
      </c>
      <c r="L684" s="3"/>
    </row>
    <row r="685" spans="2:12" ht="45" x14ac:dyDescent="0.25">
      <c r="B685" s="3">
        <v>698</v>
      </c>
      <c r="C685" s="3" t="s">
        <v>103</v>
      </c>
      <c r="D685" s="3" t="s">
        <v>104</v>
      </c>
      <c r="E685" s="40" t="s">
        <v>1832</v>
      </c>
      <c r="F685" s="4">
        <v>2211.6</v>
      </c>
      <c r="G685" s="5" t="s">
        <v>1649</v>
      </c>
      <c r="H685" s="6" t="s">
        <v>81</v>
      </c>
      <c r="I685" s="3" t="s">
        <v>19</v>
      </c>
      <c r="J685" s="10" t="s">
        <v>3</v>
      </c>
      <c r="K685" s="67" t="s">
        <v>1658</v>
      </c>
      <c r="L685" s="3"/>
    </row>
    <row r="686" spans="2:12" ht="90" x14ac:dyDescent="0.25">
      <c r="B686" s="1">
        <v>699</v>
      </c>
      <c r="C686" s="3" t="s">
        <v>313</v>
      </c>
      <c r="D686" s="3" t="s">
        <v>1495</v>
      </c>
      <c r="E686" s="40">
        <f>2*180</f>
        <v>360</v>
      </c>
      <c r="F686" s="4">
        <v>360</v>
      </c>
      <c r="G686" s="5" t="s">
        <v>1659</v>
      </c>
      <c r="H686" s="6" t="s">
        <v>26</v>
      </c>
      <c r="I686" s="3" t="s">
        <v>19</v>
      </c>
      <c r="J686" s="10" t="s">
        <v>27</v>
      </c>
      <c r="K686" s="67" t="s">
        <v>1660</v>
      </c>
      <c r="L686" s="3"/>
    </row>
    <row r="687" spans="2:12" ht="45" x14ac:dyDescent="0.25">
      <c r="B687" s="1">
        <v>700</v>
      </c>
      <c r="C687" s="3" t="s">
        <v>103</v>
      </c>
      <c r="D687" s="3" t="s">
        <v>104</v>
      </c>
      <c r="E687" s="40" t="s">
        <v>1833</v>
      </c>
      <c r="F687" s="4">
        <v>6825</v>
      </c>
      <c r="G687" s="5" t="s">
        <v>1659</v>
      </c>
      <c r="H687" s="6" t="s">
        <v>81</v>
      </c>
      <c r="I687" s="3" t="s">
        <v>19</v>
      </c>
      <c r="J687" s="10" t="s">
        <v>3</v>
      </c>
      <c r="K687" s="67" t="s">
        <v>1661</v>
      </c>
      <c r="L687" s="3"/>
    </row>
    <row r="688" spans="2:12" ht="45" x14ac:dyDescent="0.25">
      <c r="B688" s="3">
        <v>701</v>
      </c>
      <c r="C688" s="3" t="s">
        <v>1469</v>
      </c>
      <c r="D688" s="3" t="s">
        <v>98</v>
      </c>
      <c r="E688" s="40" t="s">
        <v>1840</v>
      </c>
      <c r="F688" s="4">
        <v>2920</v>
      </c>
      <c r="G688" s="5" t="s">
        <v>1662</v>
      </c>
      <c r="H688" s="6" t="s">
        <v>81</v>
      </c>
      <c r="I688" s="3" t="s">
        <v>19</v>
      </c>
      <c r="J688" s="10" t="s">
        <v>3</v>
      </c>
      <c r="K688" s="67" t="s">
        <v>1663</v>
      </c>
      <c r="L688" s="3"/>
    </row>
    <row r="689" spans="2:12" ht="45" x14ac:dyDescent="0.25">
      <c r="B689" s="3">
        <v>702</v>
      </c>
      <c r="C689" s="3" t="s">
        <v>444</v>
      </c>
      <c r="D689" s="3" t="s">
        <v>543</v>
      </c>
      <c r="E689" s="40" t="s">
        <v>1841</v>
      </c>
      <c r="F689" s="4">
        <v>1800</v>
      </c>
      <c r="G689" s="5" t="s">
        <v>1664</v>
      </c>
      <c r="H689" s="6" t="s">
        <v>81</v>
      </c>
      <c r="I689" s="3" t="s">
        <v>19</v>
      </c>
      <c r="J689" s="10" t="s">
        <v>3</v>
      </c>
      <c r="K689" s="67" t="s">
        <v>1665</v>
      </c>
      <c r="L689" s="3"/>
    </row>
    <row r="690" spans="2:12" ht="45" x14ac:dyDescent="0.25">
      <c r="B690" s="1">
        <v>703</v>
      </c>
      <c r="C690" s="3" t="s">
        <v>1480</v>
      </c>
      <c r="D690" s="3" t="s">
        <v>83</v>
      </c>
      <c r="E690" s="40" t="s">
        <v>1842</v>
      </c>
      <c r="F690" s="4">
        <v>1562.5</v>
      </c>
      <c r="G690" s="5" t="s">
        <v>1664</v>
      </c>
      <c r="H690" s="6" t="s">
        <v>81</v>
      </c>
      <c r="I690" s="3" t="s">
        <v>19</v>
      </c>
      <c r="J690" s="10" t="s">
        <v>3</v>
      </c>
      <c r="K690" s="67" t="s">
        <v>1666</v>
      </c>
      <c r="L690" s="3"/>
    </row>
    <row r="691" spans="2:12" ht="45" x14ac:dyDescent="0.25">
      <c r="B691" s="1">
        <v>704</v>
      </c>
      <c r="C691" s="3" t="s">
        <v>403</v>
      </c>
      <c r="D691" s="3" t="s">
        <v>89</v>
      </c>
      <c r="E691" s="40" t="s">
        <v>1825</v>
      </c>
      <c r="F691" s="4">
        <v>1116.3499999999999</v>
      </c>
      <c r="G691" s="5" t="s">
        <v>1664</v>
      </c>
      <c r="H691" s="6" t="s">
        <v>81</v>
      </c>
      <c r="I691" s="3" t="s">
        <v>19</v>
      </c>
      <c r="J691" s="10" t="s">
        <v>3</v>
      </c>
      <c r="K691" s="67" t="s">
        <v>1667</v>
      </c>
      <c r="L691" s="3"/>
    </row>
    <row r="692" spans="2:12" ht="45" x14ac:dyDescent="0.25">
      <c r="B692" s="3">
        <v>705</v>
      </c>
      <c r="C692" s="3" t="s">
        <v>448</v>
      </c>
      <c r="D692" s="3" t="s">
        <v>89</v>
      </c>
      <c r="E692" s="40">
        <v>250</v>
      </c>
      <c r="F692" s="4">
        <v>300</v>
      </c>
      <c r="G692" s="5" t="s">
        <v>1664</v>
      </c>
      <c r="H692" s="6" t="s">
        <v>81</v>
      </c>
      <c r="I692" s="3" t="s">
        <v>19</v>
      </c>
      <c r="J692" s="10" t="s">
        <v>3</v>
      </c>
      <c r="K692" s="67" t="s">
        <v>1668</v>
      </c>
      <c r="L692" s="3"/>
    </row>
    <row r="693" spans="2:12" ht="45" x14ac:dyDescent="0.25">
      <c r="B693" s="1">
        <v>707</v>
      </c>
      <c r="C693" s="3" t="s">
        <v>1496</v>
      </c>
      <c r="D693" s="3" t="s">
        <v>89</v>
      </c>
      <c r="E693" s="40">
        <v>396</v>
      </c>
      <c r="F693" s="4">
        <v>400</v>
      </c>
      <c r="G693" s="5" t="s">
        <v>1664</v>
      </c>
      <c r="H693" s="6" t="s">
        <v>81</v>
      </c>
      <c r="I693" s="3" t="s">
        <v>19</v>
      </c>
      <c r="J693" s="10" t="s">
        <v>3</v>
      </c>
      <c r="K693" s="67" t="s">
        <v>1669</v>
      </c>
      <c r="L693" s="3"/>
    </row>
    <row r="694" spans="2:12" ht="45" x14ac:dyDescent="0.25">
      <c r="B694" s="1">
        <v>708</v>
      </c>
      <c r="C694" s="3" t="s">
        <v>1497</v>
      </c>
      <c r="D694" s="3" t="s">
        <v>89</v>
      </c>
      <c r="E694" s="40">
        <v>600</v>
      </c>
      <c r="F694" s="4">
        <v>640</v>
      </c>
      <c r="G694" s="5" t="s">
        <v>1664</v>
      </c>
      <c r="H694" s="6" t="s">
        <v>81</v>
      </c>
      <c r="I694" s="3" t="s">
        <v>19</v>
      </c>
      <c r="J694" s="10" t="s">
        <v>3</v>
      </c>
      <c r="K694" s="67" t="s">
        <v>1670</v>
      </c>
      <c r="L694" s="3"/>
    </row>
    <row r="695" spans="2:12" ht="45" x14ac:dyDescent="0.25">
      <c r="B695" s="3">
        <v>709</v>
      </c>
      <c r="C695" s="3" t="s">
        <v>1498</v>
      </c>
      <c r="D695" s="3" t="s">
        <v>89</v>
      </c>
      <c r="E695" s="40">
        <v>360</v>
      </c>
      <c r="F695" s="4">
        <v>640</v>
      </c>
      <c r="G695" s="5" t="s">
        <v>1664</v>
      </c>
      <c r="H695" s="6" t="s">
        <v>81</v>
      </c>
      <c r="I695" s="3" t="s">
        <v>19</v>
      </c>
      <c r="J695" s="10" t="s">
        <v>3</v>
      </c>
      <c r="K695" s="67" t="s">
        <v>1671</v>
      </c>
      <c r="L695" s="3"/>
    </row>
    <row r="696" spans="2:12" ht="45" x14ac:dyDescent="0.25">
      <c r="B696" s="3">
        <v>710</v>
      </c>
      <c r="C696" s="3" t="s">
        <v>1499</v>
      </c>
      <c r="D696" s="3" t="s">
        <v>543</v>
      </c>
      <c r="E696" s="40">
        <v>930</v>
      </c>
      <c r="F696" s="4">
        <v>930</v>
      </c>
      <c r="G696" s="5" t="s">
        <v>1664</v>
      </c>
      <c r="H696" s="6" t="s">
        <v>81</v>
      </c>
      <c r="I696" s="3" t="s">
        <v>19</v>
      </c>
      <c r="J696" s="10" t="s">
        <v>3</v>
      </c>
      <c r="K696" s="67" t="s">
        <v>1672</v>
      </c>
      <c r="L696" s="3"/>
    </row>
    <row r="697" spans="2:12" ht="45" x14ac:dyDescent="0.25">
      <c r="B697" s="1">
        <v>711</v>
      </c>
      <c r="C697" s="3" t="s">
        <v>444</v>
      </c>
      <c r="D697" s="3" t="s">
        <v>543</v>
      </c>
      <c r="E697" s="40" t="s">
        <v>1829</v>
      </c>
      <c r="F697" s="4">
        <v>700</v>
      </c>
      <c r="G697" s="5" t="s">
        <v>1664</v>
      </c>
      <c r="H697" s="6" t="s">
        <v>81</v>
      </c>
      <c r="I697" s="3" t="s">
        <v>19</v>
      </c>
      <c r="J697" s="10" t="s">
        <v>3</v>
      </c>
      <c r="K697" s="67" t="s">
        <v>1673</v>
      </c>
      <c r="L697" s="3"/>
    </row>
    <row r="698" spans="2:12" ht="45" x14ac:dyDescent="0.25">
      <c r="B698" s="1">
        <v>712</v>
      </c>
      <c r="C698" s="3" t="s">
        <v>275</v>
      </c>
      <c r="D698" s="3" t="s">
        <v>83</v>
      </c>
      <c r="E698" s="40" t="s">
        <v>1841</v>
      </c>
      <c r="F698" s="4">
        <v>1800</v>
      </c>
      <c r="G698" s="5" t="s">
        <v>1674</v>
      </c>
      <c r="H698" s="6" t="s">
        <v>81</v>
      </c>
      <c r="I698" s="3" t="s">
        <v>19</v>
      </c>
      <c r="J698" s="10" t="s">
        <v>3</v>
      </c>
      <c r="K698" s="67" t="s">
        <v>1675</v>
      </c>
      <c r="L698" s="3"/>
    </row>
    <row r="699" spans="2:12" ht="45" x14ac:dyDescent="0.25">
      <c r="B699" s="3">
        <v>713</v>
      </c>
      <c r="C699" s="3" t="s">
        <v>275</v>
      </c>
      <c r="D699" s="3" t="s">
        <v>543</v>
      </c>
      <c r="E699" s="40" t="s">
        <v>1841</v>
      </c>
      <c r="F699" s="4">
        <v>1800</v>
      </c>
      <c r="G699" s="5" t="s">
        <v>1674</v>
      </c>
      <c r="H699" s="6" t="s">
        <v>81</v>
      </c>
      <c r="I699" s="3" t="s">
        <v>19</v>
      </c>
      <c r="J699" s="10" t="s">
        <v>3</v>
      </c>
      <c r="K699" s="67" t="s">
        <v>1676</v>
      </c>
      <c r="L699" s="3"/>
    </row>
    <row r="700" spans="2:12" ht="45" x14ac:dyDescent="0.25">
      <c r="B700" s="3">
        <v>714</v>
      </c>
      <c r="C700" s="3" t="s">
        <v>645</v>
      </c>
      <c r="D700" s="3" t="s">
        <v>89</v>
      </c>
      <c r="E700" s="40" t="s">
        <v>1849</v>
      </c>
      <c r="F700" s="4">
        <v>120</v>
      </c>
      <c r="G700" s="5" t="s">
        <v>1674</v>
      </c>
      <c r="H700" s="6" t="s">
        <v>81</v>
      </c>
      <c r="I700" s="3" t="s">
        <v>19</v>
      </c>
      <c r="J700" s="10" t="s">
        <v>3</v>
      </c>
      <c r="K700" s="67" t="s">
        <v>1677</v>
      </c>
      <c r="L700" s="3"/>
    </row>
    <row r="701" spans="2:12" ht="45" x14ac:dyDescent="0.25">
      <c r="B701" s="1">
        <v>715</v>
      </c>
      <c r="C701" s="3" t="s">
        <v>589</v>
      </c>
      <c r="D701" s="3" t="s">
        <v>89</v>
      </c>
      <c r="E701" s="40">
        <v>92</v>
      </c>
      <c r="F701" s="4">
        <v>100</v>
      </c>
      <c r="G701" s="5" t="s">
        <v>1674</v>
      </c>
      <c r="H701" s="6" t="s">
        <v>81</v>
      </c>
      <c r="I701" s="3" t="s">
        <v>19</v>
      </c>
      <c r="J701" s="10" t="s">
        <v>3</v>
      </c>
      <c r="K701" s="67" t="s">
        <v>1678</v>
      </c>
      <c r="L701" s="3"/>
    </row>
    <row r="702" spans="2:12" ht="45" x14ac:dyDescent="0.25">
      <c r="B702" s="1">
        <v>716</v>
      </c>
      <c r="C702" s="3" t="s">
        <v>787</v>
      </c>
      <c r="D702" s="3" t="s">
        <v>89</v>
      </c>
      <c r="E702" s="40">
        <v>120</v>
      </c>
      <c r="F702" s="4">
        <v>120</v>
      </c>
      <c r="G702" s="5" t="s">
        <v>1674</v>
      </c>
      <c r="H702" s="6" t="s">
        <v>81</v>
      </c>
      <c r="I702" s="3" t="s">
        <v>19</v>
      </c>
      <c r="J702" s="10" t="s">
        <v>3</v>
      </c>
      <c r="K702" s="67" t="s">
        <v>1679</v>
      </c>
      <c r="L702" s="3"/>
    </row>
    <row r="703" spans="2:12" ht="45" x14ac:dyDescent="0.25">
      <c r="B703" s="3">
        <v>717</v>
      </c>
      <c r="C703" s="3" t="s">
        <v>1500</v>
      </c>
      <c r="D703" s="3" t="s">
        <v>89</v>
      </c>
      <c r="E703" s="40">
        <v>89.9</v>
      </c>
      <c r="F703" s="4">
        <v>100</v>
      </c>
      <c r="G703" s="5" t="s">
        <v>1674</v>
      </c>
      <c r="H703" s="6" t="s">
        <v>81</v>
      </c>
      <c r="I703" s="3" t="s">
        <v>19</v>
      </c>
      <c r="J703" s="10" t="s">
        <v>3</v>
      </c>
      <c r="K703" s="67" t="s">
        <v>1680</v>
      </c>
      <c r="L703" s="3"/>
    </row>
    <row r="704" spans="2:12" ht="45" x14ac:dyDescent="0.25">
      <c r="B704" s="3">
        <v>718</v>
      </c>
      <c r="C704" s="12" t="s">
        <v>1501</v>
      </c>
      <c r="D704" s="3" t="s">
        <v>89</v>
      </c>
      <c r="E704" s="40">
        <v>100</v>
      </c>
      <c r="F704" s="4">
        <v>100</v>
      </c>
      <c r="G704" s="5" t="s">
        <v>1674</v>
      </c>
      <c r="H704" s="6" t="s">
        <v>81</v>
      </c>
      <c r="I704" s="3" t="s">
        <v>19</v>
      </c>
      <c r="J704" s="10" t="s">
        <v>3</v>
      </c>
      <c r="K704" s="67" t="s">
        <v>1681</v>
      </c>
      <c r="L704" s="3"/>
    </row>
    <row r="705" spans="2:12" ht="45" x14ac:dyDescent="0.25">
      <c r="B705" s="1">
        <v>719</v>
      </c>
      <c r="C705" s="3" t="s">
        <v>103</v>
      </c>
      <c r="D705" s="3" t="s">
        <v>104</v>
      </c>
      <c r="E705" s="40" t="s">
        <v>1875</v>
      </c>
      <c r="F705" s="4">
        <v>2537</v>
      </c>
      <c r="G705" s="5" t="s">
        <v>1674</v>
      </c>
      <c r="H705" s="6" t="s">
        <v>81</v>
      </c>
      <c r="I705" s="3" t="s">
        <v>19</v>
      </c>
      <c r="J705" s="10" t="s">
        <v>3</v>
      </c>
      <c r="K705" s="67" t="s">
        <v>1682</v>
      </c>
      <c r="L705" s="3"/>
    </row>
    <row r="706" spans="2:12" ht="45" x14ac:dyDescent="0.25">
      <c r="B706" s="1">
        <v>720</v>
      </c>
      <c r="C706" s="3" t="s">
        <v>642</v>
      </c>
      <c r="D706" s="3" t="s">
        <v>89</v>
      </c>
      <c r="E706" s="40" t="s">
        <v>1826</v>
      </c>
      <c r="F706" s="4">
        <v>2331.6799999999998</v>
      </c>
      <c r="G706" s="5" t="s">
        <v>1674</v>
      </c>
      <c r="H706" s="6" t="s">
        <v>81</v>
      </c>
      <c r="I706" s="3" t="s">
        <v>19</v>
      </c>
      <c r="J706" s="10" t="s">
        <v>3</v>
      </c>
      <c r="K706" s="67" t="s">
        <v>1683</v>
      </c>
      <c r="L706" s="3"/>
    </row>
    <row r="707" spans="2:12" ht="45" x14ac:dyDescent="0.25">
      <c r="B707" s="3">
        <v>721</v>
      </c>
      <c r="C707" s="3" t="s">
        <v>589</v>
      </c>
      <c r="D707" s="3" t="s">
        <v>89</v>
      </c>
      <c r="E707" s="40">
        <v>279</v>
      </c>
      <c r="F707" s="4">
        <v>440</v>
      </c>
      <c r="G707" s="5" t="s">
        <v>1684</v>
      </c>
      <c r="H707" s="6" t="s">
        <v>81</v>
      </c>
      <c r="I707" s="3" t="s">
        <v>19</v>
      </c>
      <c r="J707" s="10" t="s">
        <v>3</v>
      </c>
      <c r="K707" s="74" t="s">
        <v>1685</v>
      </c>
      <c r="L707" s="3"/>
    </row>
    <row r="708" spans="2:12" ht="45" x14ac:dyDescent="0.25">
      <c r="B708" s="3">
        <v>722</v>
      </c>
      <c r="C708" s="3" t="s">
        <v>1502</v>
      </c>
      <c r="D708" s="3" t="s">
        <v>85</v>
      </c>
      <c r="E708" s="40" t="s">
        <v>1861</v>
      </c>
      <c r="F708" s="4">
        <v>3600</v>
      </c>
      <c r="G708" s="5" t="s">
        <v>1684</v>
      </c>
      <c r="H708" s="6" t="s">
        <v>81</v>
      </c>
      <c r="I708" s="3" t="s">
        <v>19</v>
      </c>
      <c r="J708" s="10" t="s">
        <v>3</v>
      </c>
      <c r="K708" s="67" t="s">
        <v>1686</v>
      </c>
      <c r="L708" s="3"/>
    </row>
    <row r="709" spans="2:12" ht="45" x14ac:dyDescent="0.25">
      <c r="B709" s="1">
        <v>723</v>
      </c>
      <c r="C709" s="3" t="s">
        <v>1502</v>
      </c>
      <c r="D709" s="3" t="s">
        <v>89</v>
      </c>
      <c r="E709" s="40" t="s">
        <v>1862</v>
      </c>
      <c r="F709" s="4">
        <v>2810</v>
      </c>
      <c r="G709" s="5" t="s">
        <v>1684</v>
      </c>
      <c r="H709" s="6" t="s">
        <v>81</v>
      </c>
      <c r="I709" s="3" t="s">
        <v>19</v>
      </c>
      <c r="J709" s="10" t="s">
        <v>3</v>
      </c>
      <c r="K709" s="67" t="s">
        <v>1687</v>
      </c>
      <c r="L709" s="3"/>
    </row>
    <row r="710" spans="2:12" ht="45" x14ac:dyDescent="0.25">
      <c r="B710" s="1">
        <v>724</v>
      </c>
      <c r="C710" s="3" t="s">
        <v>393</v>
      </c>
      <c r="D710" s="3" t="s">
        <v>83</v>
      </c>
      <c r="E710" s="40" t="s">
        <v>1827</v>
      </c>
      <c r="F710" s="4">
        <v>2082.5</v>
      </c>
      <c r="G710" s="5" t="s">
        <v>1684</v>
      </c>
      <c r="H710" s="6" t="s">
        <v>81</v>
      </c>
      <c r="I710" s="3" t="s">
        <v>19</v>
      </c>
      <c r="J710" s="10" t="s">
        <v>3</v>
      </c>
      <c r="K710" s="67" t="s">
        <v>1688</v>
      </c>
      <c r="L710" s="3"/>
    </row>
    <row r="711" spans="2:12" ht="45" x14ac:dyDescent="0.25">
      <c r="B711" s="3">
        <v>725</v>
      </c>
      <c r="C711" s="3" t="s">
        <v>444</v>
      </c>
      <c r="D711" s="3" t="s">
        <v>543</v>
      </c>
      <c r="E711" s="40" t="s">
        <v>1828</v>
      </c>
      <c r="F711" s="4">
        <v>2060</v>
      </c>
      <c r="G711" s="5" t="s">
        <v>1684</v>
      </c>
      <c r="H711" s="6" t="s">
        <v>81</v>
      </c>
      <c r="I711" s="3" t="s">
        <v>19</v>
      </c>
      <c r="J711" s="10" t="s">
        <v>3</v>
      </c>
      <c r="K711" s="67" t="s">
        <v>1689</v>
      </c>
      <c r="L711" s="3"/>
    </row>
    <row r="712" spans="2:12" ht="45" x14ac:dyDescent="0.25">
      <c r="B712" s="3">
        <v>726</v>
      </c>
      <c r="C712" s="3" t="s">
        <v>1503</v>
      </c>
      <c r="D712" s="3" t="s">
        <v>101</v>
      </c>
      <c r="E712" s="40" t="s">
        <v>1846</v>
      </c>
      <c r="F712" s="4">
        <v>4800</v>
      </c>
      <c r="G712" s="5" t="s">
        <v>1684</v>
      </c>
      <c r="H712" s="6" t="s">
        <v>81</v>
      </c>
      <c r="I712" s="3" t="s">
        <v>19</v>
      </c>
      <c r="J712" s="10" t="s">
        <v>3</v>
      </c>
      <c r="K712" s="67" t="s">
        <v>1690</v>
      </c>
      <c r="L712" s="3"/>
    </row>
    <row r="713" spans="2:12" ht="45" x14ac:dyDescent="0.25">
      <c r="B713" s="1">
        <v>727</v>
      </c>
      <c r="C713" s="12" t="s">
        <v>1504</v>
      </c>
      <c r="D713" s="12" t="s">
        <v>815</v>
      </c>
      <c r="E713" s="40" t="s">
        <v>1816</v>
      </c>
      <c r="F713" s="68">
        <v>18.5</v>
      </c>
      <c r="G713" s="69" t="s">
        <v>1684</v>
      </c>
      <c r="H713" s="70" t="s">
        <v>81</v>
      </c>
      <c r="I713" s="12" t="s">
        <v>19</v>
      </c>
      <c r="J713" s="12" t="s">
        <v>11</v>
      </c>
      <c r="K713" s="67" t="s">
        <v>1691</v>
      </c>
      <c r="L713" s="3"/>
    </row>
    <row r="714" spans="2:12" ht="45" x14ac:dyDescent="0.25">
      <c r="B714" s="1">
        <v>728</v>
      </c>
      <c r="C714" s="12" t="s">
        <v>103</v>
      </c>
      <c r="D714" s="12" t="s">
        <v>104</v>
      </c>
      <c r="E714" s="40" t="s">
        <v>1844</v>
      </c>
      <c r="F714" s="68">
        <v>12280</v>
      </c>
      <c r="G714" s="69" t="s">
        <v>1684</v>
      </c>
      <c r="H714" s="70" t="s">
        <v>81</v>
      </c>
      <c r="I714" s="12" t="s">
        <v>19</v>
      </c>
      <c r="J714" s="10" t="s">
        <v>3</v>
      </c>
      <c r="K714" s="67" t="s">
        <v>1692</v>
      </c>
      <c r="L714" s="3"/>
    </row>
    <row r="715" spans="2:12" ht="45" x14ac:dyDescent="0.25">
      <c r="B715" s="3">
        <v>729</v>
      </c>
      <c r="C715" s="12" t="s">
        <v>624</v>
      </c>
      <c r="D715" s="12" t="s">
        <v>104</v>
      </c>
      <c r="E715" s="40" t="s">
        <v>1845</v>
      </c>
      <c r="F715" s="68">
        <v>3830</v>
      </c>
      <c r="G715" s="69" t="s">
        <v>1684</v>
      </c>
      <c r="H715" s="70" t="s">
        <v>81</v>
      </c>
      <c r="I715" s="12" t="s">
        <v>19</v>
      </c>
      <c r="J715" s="10" t="s">
        <v>3</v>
      </c>
      <c r="K715" s="67" t="s">
        <v>1693</v>
      </c>
      <c r="L715" s="3"/>
    </row>
    <row r="716" spans="2:12" ht="45" x14ac:dyDescent="0.25">
      <c r="B716" s="3">
        <v>730</v>
      </c>
      <c r="C716" s="12" t="s">
        <v>262</v>
      </c>
      <c r="D716" s="12" t="s">
        <v>83</v>
      </c>
      <c r="E716" s="40">
        <v>437.5</v>
      </c>
      <c r="F716" s="68">
        <v>437.5</v>
      </c>
      <c r="G716" s="69" t="s">
        <v>1694</v>
      </c>
      <c r="H716" s="70" t="s">
        <v>81</v>
      </c>
      <c r="I716" s="12" t="s">
        <v>19</v>
      </c>
      <c r="J716" s="12" t="s">
        <v>3</v>
      </c>
      <c r="K716" s="67" t="s">
        <v>1695</v>
      </c>
      <c r="L716" s="3"/>
    </row>
    <row r="717" spans="2:12" ht="45" x14ac:dyDescent="0.25">
      <c r="B717" s="1">
        <v>731</v>
      </c>
      <c r="C717" s="12" t="s">
        <v>986</v>
      </c>
      <c r="D717" s="12" t="s">
        <v>543</v>
      </c>
      <c r="E717" s="40" t="s">
        <v>1829</v>
      </c>
      <c r="F717" s="68">
        <v>700</v>
      </c>
      <c r="G717" s="69" t="s">
        <v>1694</v>
      </c>
      <c r="H717" s="70" t="s">
        <v>81</v>
      </c>
      <c r="I717" s="12" t="s">
        <v>19</v>
      </c>
      <c r="J717" s="12" t="s">
        <v>3</v>
      </c>
      <c r="K717" s="67" t="s">
        <v>1696</v>
      </c>
      <c r="L717" s="3"/>
    </row>
    <row r="718" spans="2:12" ht="45" x14ac:dyDescent="0.15">
      <c r="B718" s="1">
        <v>732</v>
      </c>
      <c r="C718" s="12" t="s">
        <v>1203</v>
      </c>
      <c r="D718" s="12" t="s">
        <v>85</v>
      </c>
      <c r="E718" s="75" t="s">
        <v>1859</v>
      </c>
      <c r="F718" s="68">
        <v>1012.2</v>
      </c>
      <c r="G718" s="69" t="s">
        <v>1694</v>
      </c>
      <c r="H718" s="70" t="s">
        <v>81</v>
      </c>
      <c r="I718" s="12" t="s">
        <v>19</v>
      </c>
      <c r="J718" s="12" t="s">
        <v>3</v>
      </c>
      <c r="K718" s="67" t="s">
        <v>1697</v>
      </c>
      <c r="L718" s="3"/>
    </row>
    <row r="719" spans="2:12" ht="45" x14ac:dyDescent="0.25">
      <c r="B719" s="3">
        <v>733</v>
      </c>
      <c r="C719" s="12" t="s">
        <v>1203</v>
      </c>
      <c r="D719" s="12" t="s">
        <v>89</v>
      </c>
      <c r="E719" s="40">
        <v>377</v>
      </c>
      <c r="F719" s="68">
        <v>680</v>
      </c>
      <c r="G719" s="69" t="s">
        <v>1694</v>
      </c>
      <c r="H719" s="70" t="s">
        <v>81</v>
      </c>
      <c r="I719" s="12" t="s">
        <v>19</v>
      </c>
      <c r="J719" s="12" t="s">
        <v>3</v>
      </c>
      <c r="K719" s="67" t="s">
        <v>1698</v>
      </c>
      <c r="L719" s="3"/>
    </row>
    <row r="720" spans="2:12" ht="45" x14ac:dyDescent="0.25">
      <c r="B720" s="3">
        <v>734</v>
      </c>
      <c r="C720" s="12" t="s">
        <v>1499</v>
      </c>
      <c r="D720" s="12" t="s">
        <v>543</v>
      </c>
      <c r="E720" s="40" t="s">
        <v>1899</v>
      </c>
      <c r="F720" s="68">
        <v>590</v>
      </c>
      <c r="G720" s="69" t="s">
        <v>1694</v>
      </c>
      <c r="H720" s="70" t="s">
        <v>81</v>
      </c>
      <c r="I720" s="12" t="s">
        <v>19</v>
      </c>
      <c r="J720" s="12" t="s">
        <v>3</v>
      </c>
      <c r="K720" s="67" t="s">
        <v>1699</v>
      </c>
      <c r="L720" s="3"/>
    </row>
    <row r="721" spans="2:12" s="3" customFormat="1" ht="90" x14ac:dyDescent="0.25">
      <c r="B721" s="1">
        <v>735</v>
      </c>
      <c r="C721" s="12" t="s">
        <v>1505</v>
      </c>
      <c r="D721" s="12" t="s">
        <v>809</v>
      </c>
      <c r="E721" s="40" t="s">
        <v>2767</v>
      </c>
      <c r="F721" s="68">
        <v>6529.15</v>
      </c>
      <c r="G721" s="69" t="s">
        <v>1700</v>
      </c>
      <c r="H721" s="70" t="s">
        <v>81</v>
      </c>
      <c r="I721" s="12" t="s">
        <v>19</v>
      </c>
      <c r="J721" s="3" t="s">
        <v>566</v>
      </c>
      <c r="K721" s="67" t="s">
        <v>1701</v>
      </c>
    </row>
    <row r="722" spans="2:12" ht="45" x14ac:dyDescent="0.25">
      <c r="B722" s="1">
        <v>736</v>
      </c>
      <c r="C722" s="12" t="s">
        <v>1506</v>
      </c>
      <c r="D722" s="12" t="s">
        <v>297</v>
      </c>
      <c r="E722" s="40" t="s">
        <v>895</v>
      </c>
      <c r="F722" s="68">
        <v>3000</v>
      </c>
      <c r="G722" s="69" t="s">
        <v>1700</v>
      </c>
      <c r="H722" s="70" t="s">
        <v>81</v>
      </c>
      <c r="I722" s="12" t="s">
        <v>19</v>
      </c>
      <c r="J722" s="8" t="s">
        <v>3</v>
      </c>
      <c r="K722" s="67" t="s">
        <v>1702</v>
      </c>
      <c r="L722" s="3"/>
    </row>
    <row r="723" spans="2:12" ht="45" x14ac:dyDescent="0.25">
      <c r="B723" s="3">
        <v>737</v>
      </c>
      <c r="C723" s="12" t="s">
        <v>972</v>
      </c>
      <c r="D723" s="12" t="s">
        <v>89</v>
      </c>
      <c r="E723" s="40" t="s">
        <v>1848</v>
      </c>
      <c r="F723" s="68">
        <v>100</v>
      </c>
      <c r="G723" s="69" t="s">
        <v>1700</v>
      </c>
      <c r="H723" s="70" t="s">
        <v>81</v>
      </c>
      <c r="I723" s="12" t="s">
        <v>19</v>
      </c>
      <c r="J723" s="8" t="s">
        <v>3</v>
      </c>
      <c r="K723" s="67" t="s">
        <v>1703</v>
      </c>
      <c r="L723" s="3"/>
    </row>
    <row r="724" spans="2:12" ht="45" x14ac:dyDescent="0.25">
      <c r="B724" s="3">
        <v>738</v>
      </c>
      <c r="C724" s="12" t="s">
        <v>1507</v>
      </c>
      <c r="D724" s="12" t="s">
        <v>85</v>
      </c>
      <c r="E724" s="40" t="s">
        <v>1851</v>
      </c>
      <c r="F724" s="68">
        <v>1700</v>
      </c>
      <c r="G724" s="69" t="s">
        <v>1704</v>
      </c>
      <c r="H724" s="70" t="s">
        <v>81</v>
      </c>
      <c r="I724" s="12" t="s">
        <v>19</v>
      </c>
      <c r="J724" s="8" t="s">
        <v>3</v>
      </c>
      <c r="K724" s="67" t="s">
        <v>1705</v>
      </c>
      <c r="L724" s="3"/>
    </row>
    <row r="725" spans="2:12" ht="45" x14ac:dyDescent="0.25">
      <c r="B725" s="1">
        <v>739</v>
      </c>
      <c r="C725" s="12" t="s">
        <v>444</v>
      </c>
      <c r="D725" s="12" t="s">
        <v>543</v>
      </c>
      <c r="E725" s="40" t="s">
        <v>1850</v>
      </c>
      <c r="F725" s="68">
        <v>2500</v>
      </c>
      <c r="G725" s="69" t="s">
        <v>1704</v>
      </c>
      <c r="H725" s="70" t="s">
        <v>81</v>
      </c>
      <c r="I725" s="12" t="s">
        <v>19</v>
      </c>
      <c r="J725" s="8" t="s">
        <v>3</v>
      </c>
      <c r="K725" s="67" t="s">
        <v>1706</v>
      </c>
      <c r="L725" s="3"/>
    </row>
    <row r="726" spans="2:12" ht="45" x14ac:dyDescent="0.25">
      <c r="B726" s="1">
        <v>740</v>
      </c>
      <c r="C726" s="12" t="s">
        <v>1508</v>
      </c>
      <c r="D726" s="12" t="s">
        <v>85</v>
      </c>
      <c r="E726" s="40" t="s">
        <v>1877</v>
      </c>
      <c r="F726" s="68">
        <v>3324</v>
      </c>
      <c r="G726" s="69" t="s">
        <v>1704</v>
      </c>
      <c r="H726" s="70" t="s">
        <v>81</v>
      </c>
      <c r="I726" s="12" t="s">
        <v>19</v>
      </c>
      <c r="J726" s="8" t="s">
        <v>3</v>
      </c>
      <c r="K726" s="67" t="s">
        <v>1707</v>
      </c>
      <c r="L726" s="3"/>
    </row>
    <row r="727" spans="2:12" ht="45" x14ac:dyDescent="0.25">
      <c r="B727" s="3">
        <v>741</v>
      </c>
      <c r="C727" s="3" t="s">
        <v>1509</v>
      </c>
      <c r="D727" s="3" t="s">
        <v>1510</v>
      </c>
      <c r="E727" s="40" t="s">
        <v>1900</v>
      </c>
      <c r="F727" s="4">
        <v>245.5</v>
      </c>
      <c r="G727" s="69" t="s">
        <v>1704</v>
      </c>
      <c r="H727" s="70" t="s">
        <v>81</v>
      </c>
      <c r="I727" s="12" t="s">
        <v>19</v>
      </c>
      <c r="J727" s="10" t="s">
        <v>11</v>
      </c>
      <c r="K727" s="67" t="s">
        <v>1708</v>
      </c>
      <c r="L727" s="3"/>
    </row>
    <row r="728" spans="2:12" ht="45" x14ac:dyDescent="0.25">
      <c r="B728" s="3">
        <v>742</v>
      </c>
      <c r="C728" s="3" t="s">
        <v>1511</v>
      </c>
      <c r="D728" s="3" t="s">
        <v>1512</v>
      </c>
      <c r="E728" s="40" t="s">
        <v>1784</v>
      </c>
      <c r="F728" s="4">
        <v>375</v>
      </c>
      <c r="G728" s="69" t="s">
        <v>1704</v>
      </c>
      <c r="H728" s="70" t="s">
        <v>81</v>
      </c>
      <c r="I728" s="12" t="s">
        <v>19</v>
      </c>
      <c r="J728" s="10" t="s">
        <v>11</v>
      </c>
      <c r="K728" s="67" t="s">
        <v>1709</v>
      </c>
      <c r="L728" s="3"/>
    </row>
    <row r="729" spans="2:12" x14ac:dyDescent="0.25">
      <c r="B729" s="1">
        <v>743</v>
      </c>
      <c r="C729" s="3" t="s">
        <v>1513</v>
      </c>
      <c r="D729" s="3" t="s">
        <v>1514</v>
      </c>
      <c r="E729" s="41">
        <v>55555</v>
      </c>
      <c r="F729" s="4">
        <v>5555</v>
      </c>
      <c r="G729" s="69" t="s">
        <v>1710</v>
      </c>
      <c r="H729" s="70" t="s">
        <v>81</v>
      </c>
      <c r="I729" s="3" t="s">
        <v>9</v>
      </c>
      <c r="J729" s="3" t="s">
        <v>1711</v>
      </c>
      <c r="K729" s="67"/>
      <c r="L729" s="3"/>
    </row>
    <row r="730" spans="2:12" ht="45" x14ac:dyDescent="0.25">
      <c r="B730" s="1">
        <v>744</v>
      </c>
      <c r="C730" s="3" t="s">
        <v>623</v>
      </c>
      <c r="D730" s="3" t="s">
        <v>104</v>
      </c>
      <c r="E730" s="40" t="s">
        <v>1857</v>
      </c>
      <c r="F730" s="4">
        <v>4115</v>
      </c>
      <c r="G730" s="69" t="s">
        <v>1710</v>
      </c>
      <c r="H730" s="70" t="s">
        <v>81</v>
      </c>
      <c r="I730" s="12" t="s">
        <v>19</v>
      </c>
      <c r="J730" s="8" t="s">
        <v>3</v>
      </c>
      <c r="K730" s="67" t="s">
        <v>1712</v>
      </c>
      <c r="L730" s="3"/>
    </row>
    <row r="731" spans="2:12" ht="45" x14ac:dyDescent="0.25">
      <c r="B731" s="3">
        <v>745</v>
      </c>
      <c r="C731" s="3" t="s">
        <v>801</v>
      </c>
      <c r="D731" s="3" t="s">
        <v>89</v>
      </c>
      <c r="E731" s="40" t="s">
        <v>1847</v>
      </c>
      <c r="F731" s="4">
        <v>100</v>
      </c>
      <c r="G731" s="69" t="s">
        <v>1710</v>
      </c>
      <c r="H731" s="70" t="s">
        <v>81</v>
      </c>
      <c r="I731" s="12" t="s">
        <v>19</v>
      </c>
      <c r="J731" s="8" t="s">
        <v>3</v>
      </c>
      <c r="K731" s="67" t="s">
        <v>1713</v>
      </c>
      <c r="L731" s="3"/>
    </row>
    <row r="732" spans="2:12" ht="90" x14ac:dyDescent="0.25">
      <c r="B732" s="3">
        <v>746</v>
      </c>
      <c r="C732" s="12" t="s">
        <v>1515</v>
      </c>
      <c r="D732" s="12" t="s">
        <v>1516</v>
      </c>
      <c r="E732" s="40">
        <f>3000+3000+3000+3000</f>
        <v>12000</v>
      </c>
      <c r="F732" s="68">
        <v>12000</v>
      </c>
      <c r="G732" s="69" t="s">
        <v>1710</v>
      </c>
      <c r="H732" s="70" t="s">
        <v>81</v>
      </c>
      <c r="I732" s="12" t="s">
        <v>19</v>
      </c>
      <c r="J732" s="10" t="s">
        <v>1714</v>
      </c>
      <c r="K732" s="67" t="s">
        <v>1715</v>
      </c>
      <c r="L732" s="3"/>
    </row>
    <row r="733" spans="2:12" x14ac:dyDescent="0.25">
      <c r="B733" s="1">
        <v>747</v>
      </c>
      <c r="C733" s="12" t="s">
        <v>1517</v>
      </c>
      <c r="D733" s="12" t="s">
        <v>1518</v>
      </c>
      <c r="E733" s="41">
        <f>27984.12+1210.35+7157.02</f>
        <v>36351.49</v>
      </c>
      <c r="F733" s="68">
        <v>39930</v>
      </c>
      <c r="G733" s="69" t="s">
        <v>1716</v>
      </c>
      <c r="H733" s="70" t="s">
        <v>26</v>
      </c>
      <c r="I733" s="12" t="s">
        <v>12</v>
      </c>
      <c r="J733" s="12" t="s">
        <v>1717</v>
      </c>
      <c r="K733" s="67"/>
      <c r="L733" s="3"/>
    </row>
    <row r="734" spans="2:12" ht="22.5" x14ac:dyDescent="0.25">
      <c r="B734" s="1">
        <v>748</v>
      </c>
      <c r="C734" s="12" t="s">
        <v>1519</v>
      </c>
      <c r="D734" s="12" t="s">
        <v>1520</v>
      </c>
      <c r="E734" s="41">
        <v>18750</v>
      </c>
      <c r="F734" s="68">
        <v>18750</v>
      </c>
      <c r="G734" s="69" t="s">
        <v>1716</v>
      </c>
      <c r="H734" s="70" t="s">
        <v>81</v>
      </c>
      <c r="I734" s="12" t="s">
        <v>9</v>
      </c>
      <c r="J734" s="12" t="s">
        <v>1718</v>
      </c>
      <c r="K734" s="67"/>
      <c r="L734" s="3"/>
    </row>
    <row r="735" spans="2:12" ht="22.5" x14ac:dyDescent="0.25">
      <c r="B735" s="3">
        <v>749</v>
      </c>
      <c r="C735" s="12" t="s">
        <v>1519</v>
      </c>
      <c r="D735" s="12" t="s">
        <v>1521</v>
      </c>
      <c r="E735" s="41">
        <v>18860</v>
      </c>
      <c r="F735" s="68">
        <v>18860</v>
      </c>
      <c r="G735" s="69" t="s">
        <v>1716</v>
      </c>
      <c r="H735" s="70" t="s">
        <v>81</v>
      </c>
      <c r="I735" s="12" t="s">
        <v>9</v>
      </c>
      <c r="J735" s="12" t="s">
        <v>1719</v>
      </c>
      <c r="K735" s="67"/>
      <c r="L735" s="3"/>
    </row>
    <row r="736" spans="2:12" ht="45" x14ac:dyDescent="0.25">
      <c r="B736" s="3">
        <v>750</v>
      </c>
      <c r="C736" s="12" t="s">
        <v>1522</v>
      </c>
      <c r="D736" s="12" t="s">
        <v>543</v>
      </c>
      <c r="E736" s="40" t="s">
        <v>1852</v>
      </c>
      <c r="F736" s="68">
        <v>4369.47</v>
      </c>
      <c r="G736" s="69" t="s">
        <v>1716</v>
      </c>
      <c r="H736" s="70" t="s">
        <v>81</v>
      </c>
      <c r="I736" s="12" t="s">
        <v>19</v>
      </c>
      <c r="J736" s="8" t="s">
        <v>3</v>
      </c>
      <c r="K736" s="67" t="s">
        <v>1720</v>
      </c>
      <c r="L736" s="3"/>
    </row>
    <row r="737" spans="2:12" ht="45" x14ac:dyDescent="0.25">
      <c r="B737" s="1">
        <v>751</v>
      </c>
      <c r="C737" s="12" t="s">
        <v>1499</v>
      </c>
      <c r="D737" s="12" t="s">
        <v>543</v>
      </c>
      <c r="E737" s="40" t="s">
        <v>1898</v>
      </c>
      <c r="F737" s="68">
        <v>800</v>
      </c>
      <c r="G737" s="69" t="s">
        <v>1721</v>
      </c>
      <c r="H737" s="70" t="s">
        <v>81</v>
      </c>
      <c r="I737" s="12" t="s">
        <v>19</v>
      </c>
      <c r="J737" s="8" t="s">
        <v>3</v>
      </c>
      <c r="K737" s="67" t="s">
        <v>1722</v>
      </c>
      <c r="L737" s="3"/>
    </row>
    <row r="738" spans="2:12" ht="45" x14ac:dyDescent="0.25">
      <c r="B738" s="1">
        <v>752</v>
      </c>
      <c r="C738" s="12" t="s">
        <v>1523</v>
      </c>
      <c r="D738" s="12" t="s">
        <v>89</v>
      </c>
      <c r="E738" s="40" t="s">
        <v>1854</v>
      </c>
      <c r="F738" s="68">
        <v>1440</v>
      </c>
      <c r="G738" s="69" t="s">
        <v>1721</v>
      </c>
      <c r="H738" s="70" t="s">
        <v>81</v>
      </c>
      <c r="I738" s="12" t="s">
        <v>19</v>
      </c>
      <c r="J738" s="8" t="s">
        <v>3</v>
      </c>
      <c r="K738" s="67" t="s">
        <v>1853</v>
      </c>
      <c r="L738" s="3"/>
    </row>
    <row r="739" spans="2:12" ht="45" x14ac:dyDescent="0.25">
      <c r="B739" s="3">
        <v>753</v>
      </c>
      <c r="C739" s="12" t="s">
        <v>1523</v>
      </c>
      <c r="D739" s="12" t="s">
        <v>85</v>
      </c>
      <c r="E739" s="40" t="s">
        <v>888</v>
      </c>
      <c r="F739" s="68">
        <v>1200</v>
      </c>
      <c r="G739" s="69" t="s">
        <v>1721</v>
      </c>
      <c r="H739" s="70" t="s">
        <v>81</v>
      </c>
      <c r="I739" s="12" t="s">
        <v>19</v>
      </c>
      <c r="J739" s="8" t="s">
        <v>3</v>
      </c>
      <c r="K739" s="67" t="s">
        <v>1723</v>
      </c>
      <c r="L739" s="3"/>
    </row>
    <row r="740" spans="2:12" ht="45" x14ac:dyDescent="0.25">
      <c r="B740" s="3">
        <v>754</v>
      </c>
      <c r="C740" s="12" t="s">
        <v>1524</v>
      </c>
      <c r="D740" s="12" t="s">
        <v>89</v>
      </c>
      <c r="E740" s="40">
        <v>784.7</v>
      </c>
      <c r="F740" s="68">
        <v>1640</v>
      </c>
      <c r="G740" s="69" t="s">
        <v>1721</v>
      </c>
      <c r="H740" s="70" t="s">
        <v>81</v>
      </c>
      <c r="I740" s="12" t="s">
        <v>19</v>
      </c>
      <c r="J740" s="8" t="s">
        <v>3</v>
      </c>
      <c r="K740" s="67" t="s">
        <v>1724</v>
      </c>
      <c r="L740" s="3"/>
    </row>
    <row r="741" spans="2:12" ht="45" x14ac:dyDescent="0.25">
      <c r="B741" s="1">
        <v>755</v>
      </c>
      <c r="C741" s="12" t="s">
        <v>392</v>
      </c>
      <c r="D741" s="12" t="s">
        <v>543</v>
      </c>
      <c r="E741" s="40" t="s">
        <v>1855</v>
      </c>
      <c r="F741" s="68">
        <v>2100</v>
      </c>
      <c r="G741" s="69" t="s">
        <v>1721</v>
      </c>
      <c r="H741" s="70" t="s">
        <v>81</v>
      </c>
      <c r="I741" s="12" t="s">
        <v>19</v>
      </c>
      <c r="J741" s="8" t="s">
        <v>3</v>
      </c>
      <c r="K741" s="67" t="s">
        <v>1725</v>
      </c>
      <c r="L741" s="3"/>
    </row>
    <row r="742" spans="2:12" ht="45" x14ac:dyDescent="0.25">
      <c r="B742" s="1">
        <v>756</v>
      </c>
      <c r="C742" s="12" t="s">
        <v>103</v>
      </c>
      <c r="D742" s="12" t="s">
        <v>104</v>
      </c>
      <c r="E742" s="40" t="s">
        <v>1431</v>
      </c>
      <c r="F742" s="68">
        <v>2780</v>
      </c>
      <c r="G742" s="69" t="s">
        <v>1721</v>
      </c>
      <c r="H742" s="70" t="s">
        <v>81</v>
      </c>
      <c r="I742" s="12" t="s">
        <v>19</v>
      </c>
      <c r="J742" s="8" t="s">
        <v>3</v>
      </c>
      <c r="K742" s="67" t="s">
        <v>1726</v>
      </c>
      <c r="L742" s="3"/>
    </row>
    <row r="743" spans="2:12" ht="45" x14ac:dyDescent="0.25">
      <c r="B743" s="3">
        <v>757</v>
      </c>
      <c r="C743" s="12" t="s">
        <v>1525</v>
      </c>
      <c r="D743" s="12" t="s">
        <v>85</v>
      </c>
      <c r="E743" s="40" t="s">
        <v>1870</v>
      </c>
      <c r="F743" s="68">
        <v>611.54999999999995</v>
      </c>
      <c r="G743" s="69" t="s">
        <v>1721</v>
      </c>
      <c r="H743" s="70" t="s">
        <v>81</v>
      </c>
      <c r="I743" s="12" t="s">
        <v>19</v>
      </c>
      <c r="J743" s="8" t="s">
        <v>3</v>
      </c>
      <c r="K743" s="67" t="s">
        <v>1727</v>
      </c>
      <c r="L743" s="3"/>
    </row>
    <row r="744" spans="2:12" ht="45" x14ac:dyDescent="0.25">
      <c r="B744" s="3">
        <v>758</v>
      </c>
      <c r="C744" s="12" t="s">
        <v>1525</v>
      </c>
      <c r="D744" s="12" t="s">
        <v>89</v>
      </c>
      <c r="E744" s="40" t="s">
        <v>1872</v>
      </c>
      <c r="F744" s="68">
        <v>220</v>
      </c>
      <c r="G744" s="69" t="s">
        <v>1721</v>
      </c>
      <c r="H744" s="70" t="s">
        <v>81</v>
      </c>
      <c r="I744" s="12" t="s">
        <v>19</v>
      </c>
      <c r="J744" s="8" t="s">
        <v>3</v>
      </c>
      <c r="K744" s="67" t="s">
        <v>1728</v>
      </c>
      <c r="L744" s="3"/>
    </row>
    <row r="745" spans="2:12" ht="45" x14ac:dyDescent="0.25">
      <c r="B745" s="1">
        <v>759</v>
      </c>
      <c r="C745" s="12" t="s">
        <v>1228</v>
      </c>
      <c r="D745" s="12" t="s">
        <v>85</v>
      </c>
      <c r="E745" s="40" t="s">
        <v>1858</v>
      </c>
      <c r="F745" s="68">
        <v>340</v>
      </c>
      <c r="G745" s="69" t="s">
        <v>1729</v>
      </c>
      <c r="H745" s="70" t="s">
        <v>81</v>
      </c>
      <c r="I745" s="12" t="s">
        <v>19</v>
      </c>
      <c r="J745" s="8" t="s">
        <v>3</v>
      </c>
      <c r="K745" s="67" t="s">
        <v>1730</v>
      </c>
      <c r="L745" s="3"/>
    </row>
    <row r="746" spans="2:12" ht="45" x14ac:dyDescent="0.25">
      <c r="B746" s="1">
        <v>760</v>
      </c>
      <c r="C746" s="12" t="s">
        <v>986</v>
      </c>
      <c r="D746" s="12" t="s">
        <v>543</v>
      </c>
      <c r="E746" s="40">
        <v>700</v>
      </c>
      <c r="F746" s="68">
        <v>700</v>
      </c>
      <c r="G746" s="69" t="s">
        <v>1729</v>
      </c>
      <c r="H746" s="70" t="s">
        <v>81</v>
      </c>
      <c r="I746" s="12" t="s">
        <v>19</v>
      </c>
      <c r="J746" s="8" t="s">
        <v>3</v>
      </c>
      <c r="K746" s="67" t="s">
        <v>1731</v>
      </c>
      <c r="L746" s="3"/>
    </row>
    <row r="747" spans="2:12" ht="45" x14ac:dyDescent="0.25">
      <c r="B747" s="3">
        <v>761</v>
      </c>
      <c r="C747" s="12" t="s">
        <v>624</v>
      </c>
      <c r="D747" s="12" t="s">
        <v>104</v>
      </c>
      <c r="E747" s="40" t="s">
        <v>1863</v>
      </c>
      <c r="F747" s="68">
        <v>1855.7</v>
      </c>
      <c r="G747" s="69" t="s">
        <v>1729</v>
      </c>
      <c r="H747" s="70" t="s">
        <v>81</v>
      </c>
      <c r="I747" s="12" t="s">
        <v>19</v>
      </c>
      <c r="J747" s="8" t="s">
        <v>3</v>
      </c>
      <c r="K747" s="67" t="s">
        <v>1732</v>
      </c>
      <c r="L747" s="3"/>
    </row>
    <row r="748" spans="2:12" ht="45" x14ac:dyDescent="0.25">
      <c r="B748" s="3">
        <v>762</v>
      </c>
      <c r="C748" s="12" t="s">
        <v>1526</v>
      </c>
      <c r="D748" s="12" t="s">
        <v>1527</v>
      </c>
      <c r="E748" s="40">
        <f>5000+35625+21875</f>
        <v>62500</v>
      </c>
      <c r="F748" s="68">
        <v>62500</v>
      </c>
      <c r="G748" s="69" t="s">
        <v>1733</v>
      </c>
      <c r="H748" s="70" t="s">
        <v>81</v>
      </c>
      <c r="I748" s="12" t="s">
        <v>19</v>
      </c>
      <c r="J748" s="8" t="s">
        <v>3</v>
      </c>
      <c r="K748" s="67" t="s">
        <v>1734</v>
      </c>
      <c r="L748" s="3"/>
    </row>
    <row r="749" spans="2:12" ht="45" x14ac:dyDescent="0.25">
      <c r="B749" s="1">
        <v>763</v>
      </c>
      <c r="C749" s="12" t="s">
        <v>133</v>
      </c>
      <c r="D749" s="12" t="s">
        <v>297</v>
      </c>
      <c r="E749" s="40" t="s">
        <v>2468</v>
      </c>
      <c r="F749" s="68">
        <v>9864.7999999999993</v>
      </c>
      <c r="G749" s="69" t="s">
        <v>1733</v>
      </c>
      <c r="H749" s="70" t="s">
        <v>81</v>
      </c>
      <c r="I749" s="12" t="s">
        <v>19</v>
      </c>
      <c r="J749" s="8" t="s">
        <v>3</v>
      </c>
      <c r="K749" s="67" t="s">
        <v>1735</v>
      </c>
      <c r="L749" s="3"/>
    </row>
    <row r="750" spans="2:12" ht="90" x14ac:dyDescent="0.25">
      <c r="B750" s="1">
        <v>764</v>
      </c>
      <c r="C750" s="12" t="s">
        <v>793</v>
      </c>
      <c r="D750" s="12" t="s">
        <v>809</v>
      </c>
      <c r="E750" s="40">
        <f>19543.8+2171.53+13801.36+1660.92</f>
        <v>37177.61</v>
      </c>
      <c r="F750" s="68">
        <v>32928</v>
      </c>
      <c r="G750" s="69" t="s">
        <v>1733</v>
      </c>
      <c r="H750" s="24" t="s">
        <v>81</v>
      </c>
      <c r="I750" s="12" t="s">
        <v>19</v>
      </c>
      <c r="J750" s="12" t="s">
        <v>566</v>
      </c>
      <c r="K750" s="67" t="s">
        <v>1736</v>
      </c>
      <c r="L750" s="3"/>
    </row>
    <row r="751" spans="2:12" ht="90" x14ac:dyDescent="0.25">
      <c r="B751" s="3">
        <v>765</v>
      </c>
      <c r="C751" s="12" t="s">
        <v>1528</v>
      </c>
      <c r="D751" s="12" t="s">
        <v>1529</v>
      </c>
      <c r="E751" s="40" t="s">
        <v>487</v>
      </c>
      <c r="F751" s="68">
        <v>2000</v>
      </c>
      <c r="G751" s="69" t="s">
        <v>1733</v>
      </c>
      <c r="H751" s="70" t="s">
        <v>81</v>
      </c>
      <c r="I751" s="12" t="s">
        <v>19</v>
      </c>
      <c r="J751" s="12" t="s">
        <v>284</v>
      </c>
      <c r="K751" s="67" t="s">
        <v>1737</v>
      </c>
      <c r="L751" s="3"/>
    </row>
    <row r="752" spans="2:12" ht="45" x14ac:dyDescent="0.25">
      <c r="B752" s="1">
        <v>767</v>
      </c>
      <c r="C752" s="12" t="s">
        <v>392</v>
      </c>
      <c r="D752" s="12" t="s">
        <v>543</v>
      </c>
      <c r="E752" s="40" t="s">
        <v>1860</v>
      </c>
      <c r="F752" s="68">
        <v>690</v>
      </c>
      <c r="G752" s="69" t="s">
        <v>1738</v>
      </c>
      <c r="H752" s="70" t="s">
        <v>81</v>
      </c>
      <c r="I752" s="12" t="s">
        <v>19</v>
      </c>
      <c r="J752" s="12" t="s">
        <v>3</v>
      </c>
      <c r="K752" s="67" t="s">
        <v>1739</v>
      </c>
      <c r="L752" s="3"/>
    </row>
    <row r="753" spans="2:12" ht="45" x14ac:dyDescent="0.25">
      <c r="B753" s="1">
        <v>768</v>
      </c>
      <c r="C753" s="12" t="s">
        <v>798</v>
      </c>
      <c r="D753" s="12" t="s">
        <v>89</v>
      </c>
      <c r="E753" s="40" t="s">
        <v>1856</v>
      </c>
      <c r="F753" s="68">
        <v>240</v>
      </c>
      <c r="G753" s="69" t="s">
        <v>1738</v>
      </c>
      <c r="H753" s="70" t="s">
        <v>81</v>
      </c>
      <c r="I753" s="12" t="s">
        <v>19</v>
      </c>
      <c r="J753" s="12" t="s">
        <v>3</v>
      </c>
      <c r="K753" s="67" t="s">
        <v>1740</v>
      </c>
      <c r="L753" s="3"/>
    </row>
    <row r="754" spans="2:12" ht="45" x14ac:dyDescent="0.25">
      <c r="B754" s="3">
        <v>769</v>
      </c>
      <c r="C754" s="12" t="s">
        <v>103</v>
      </c>
      <c r="D754" s="12" t="s">
        <v>104</v>
      </c>
      <c r="E754" s="40" t="s">
        <v>1866</v>
      </c>
      <c r="F754" s="68">
        <v>7600</v>
      </c>
      <c r="G754" s="69" t="s">
        <v>1738</v>
      </c>
      <c r="H754" s="70" t="s">
        <v>81</v>
      </c>
      <c r="I754" s="12" t="s">
        <v>19</v>
      </c>
      <c r="J754" s="12" t="s">
        <v>3</v>
      </c>
      <c r="K754" s="67" t="s">
        <v>1741</v>
      </c>
      <c r="L754" s="3"/>
    </row>
    <row r="755" spans="2:12" ht="45" x14ac:dyDescent="0.25">
      <c r="B755" s="32">
        <v>770</v>
      </c>
      <c r="C755" s="12" t="s">
        <v>1530</v>
      </c>
      <c r="D755" s="12" t="s">
        <v>89</v>
      </c>
      <c r="E755" s="40" t="s">
        <v>2067</v>
      </c>
      <c r="F755" s="68">
        <v>800</v>
      </c>
      <c r="G755" s="69" t="s">
        <v>1742</v>
      </c>
      <c r="H755" s="70" t="s">
        <v>81</v>
      </c>
      <c r="I755" s="12" t="s">
        <v>19</v>
      </c>
      <c r="J755" s="12" t="s">
        <v>3</v>
      </c>
      <c r="K755" s="67" t="s">
        <v>1743</v>
      </c>
      <c r="L755" s="3"/>
    </row>
    <row r="756" spans="2:12" ht="45" x14ac:dyDescent="0.25">
      <c r="B756" s="1">
        <v>771</v>
      </c>
      <c r="C756" s="12" t="s">
        <v>1530</v>
      </c>
      <c r="D756" s="12" t="s">
        <v>85</v>
      </c>
      <c r="E756" s="40" t="s">
        <v>2066</v>
      </c>
      <c r="F756" s="68">
        <v>2234.65</v>
      </c>
      <c r="G756" s="69" t="s">
        <v>1742</v>
      </c>
      <c r="H756" s="70" t="s">
        <v>81</v>
      </c>
      <c r="I756" s="12" t="s">
        <v>19</v>
      </c>
      <c r="J756" s="12" t="s">
        <v>3</v>
      </c>
      <c r="K756" s="67" t="s">
        <v>1744</v>
      </c>
      <c r="L756" s="3"/>
    </row>
    <row r="757" spans="2:12" ht="45" x14ac:dyDescent="0.25">
      <c r="B757" s="1">
        <v>5</v>
      </c>
      <c r="C757" s="12" t="s">
        <v>220</v>
      </c>
      <c r="D757" s="12" t="s">
        <v>85</v>
      </c>
      <c r="E757" s="40" t="s">
        <v>1865</v>
      </c>
      <c r="F757" s="68">
        <v>273.69</v>
      </c>
      <c r="G757" s="69" t="s">
        <v>1745</v>
      </c>
      <c r="H757" s="70" t="s">
        <v>81</v>
      </c>
      <c r="I757" s="12" t="s">
        <v>19</v>
      </c>
      <c r="J757" s="12" t="s">
        <v>3</v>
      </c>
      <c r="K757" s="67" t="s">
        <v>1746</v>
      </c>
      <c r="L757" s="3"/>
    </row>
    <row r="758" spans="2:12" ht="101.25" x14ac:dyDescent="0.25">
      <c r="B758" s="1">
        <v>772</v>
      </c>
      <c r="C758" s="12" t="s">
        <v>1531</v>
      </c>
      <c r="D758" s="12" t="s">
        <v>1532</v>
      </c>
      <c r="E758" s="40">
        <v>202.5</v>
      </c>
      <c r="F758" s="68">
        <v>202.5</v>
      </c>
      <c r="G758" s="69" t="s">
        <v>1745</v>
      </c>
      <c r="H758" s="70" t="s">
        <v>81</v>
      </c>
      <c r="I758" s="12" t="s">
        <v>19</v>
      </c>
      <c r="J758" s="10" t="s">
        <v>566</v>
      </c>
      <c r="K758" s="67" t="s">
        <v>1747</v>
      </c>
      <c r="L758" s="3"/>
    </row>
    <row r="759" spans="2:12" ht="33.75" x14ac:dyDescent="0.25">
      <c r="B759" s="3">
        <v>773</v>
      </c>
      <c r="C759" s="12" t="s">
        <v>1533</v>
      </c>
      <c r="D759" s="12" t="s">
        <v>1534</v>
      </c>
      <c r="E759" s="41">
        <f>6695+6695</f>
        <v>13390</v>
      </c>
      <c r="F759" s="68">
        <v>13390</v>
      </c>
      <c r="G759" s="69" t="s">
        <v>1745</v>
      </c>
      <c r="H759" s="70" t="s">
        <v>81</v>
      </c>
      <c r="I759" s="12" t="s">
        <v>9</v>
      </c>
      <c r="J759" s="12" t="s">
        <v>1748</v>
      </c>
      <c r="K759" s="67"/>
      <c r="L759" s="3"/>
    </row>
    <row r="760" spans="2:12" ht="90" x14ac:dyDescent="0.25">
      <c r="B760" s="3">
        <v>774</v>
      </c>
      <c r="C760" s="12" t="s">
        <v>1535</v>
      </c>
      <c r="D760" s="12" t="s">
        <v>1536</v>
      </c>
      <c r="E760" s="40">
        <f>35400+162840+45784</f>
        <v>244024</v>
      </c>
      <c r="F760" s="68">
        <v>221840</v>
      </c>
      <c r="G760" s="69" t="s">
        <v>1745</v>
      </c>
      <c r="H760" s="70" t="s">
        <v>81</v>
      </c>
      <c r="I760" s="12" t="s">
        <v>19</v>
      </c>
      <c r="J760" s="10" t="s">
        <v>1714</v>
      </c>
      <c r="K760" s="67" t="s">
        <v>1749</v>
      </c>
      <c r="L760" s="3"/>
    </row>
    <row r="761" spans="2:12" ht="33.75" x14ac:dyDescent="0.25">
      <c r="B761" s="1">
        <v>775</v>
      </c>
      <c r="C761" s="12" t="s">
        <v>1224</v>
      </c>
      <c r="D761" s="12" t="s">
        <v>1537</v>
      </c>
      <c r="E761" s="41">
        <f>28240+66426</f>
        <v>94666</v>
      </c>
      <c r="F761" s="68">
        <v>94666</v>
      </c>
      <c r="G761" s="69" t="s">
        <v>1750</v>
      </c>
      <c r="H761" s="70" t="s">
        <v>81</v>
      </c>
      <c r="I761" s="12" t="s">
        <v>12</v>
      </c>
      <c r="J761" s="12" t="s">
        <v>1751</v>
      </c>
      <c r="K761" s="67"/>
      <c r="L761" s="3"/>
    </row>
    <row r="762" spans="2:12" ht="45" x14ac:dyDescent="0.25">
      <c r="B762" s="1">
        <v>776</v>
      </c>
      <c r="C762" s="12" t="s">
        <v>1538</v>
      </c>
      <c r="D762" s="12" t="s">
        <v>1539</v>
      </c>
      <c r="E762" s="40">
        <v>288</v>
      </c>
      <c r="F762" s="68">
        <v>288</v>
      </c>
      <c r="G762" s="69" t="s">
        <v>1752</v>
      </c>
      <c r="H762" s="70" t="s">
        <v>81</v>
      </c>
      <c r="I762" s="12" t="s">
        <v>1753</v>
      </c>
      <c r="J762" s="10" t="s">
        <v>11</v>
      </c>
      <c r="K762" s="67" t="s">
        <v>1754</v>
      </c>
      <c r="L762" s="3"/>
    </row>
    <row r="763" spans="2:12" ht="45" x14ac:dyDescent="0.25">
      <c r="B763" s="3">
        <v>777</v>
      </c>
      <c r="C763" s="12" t="s">
        <v>1489</v>
      </c>
      <c r="D763" s="12" t="s">
        <v>89</v>
      </c>
      <c r="E763" s="40">
        <v>659</v>
      </c>
      <c r="F763" s="68">
        <v>800</v>
      </c>
      <c r="G763" s="69" t="s">
        <v>1752</v>
      </c>
      <c r="H763" s="70" t="s">
        <v>81</v>
      </c>
      <c r="I763" s="12" t="s">
        <v>1753</v>
      </c>
      <c r="J763" s="8" t="s">
        <v>3</v>
      </c>
      <c r="K763" s="67" t="s">
        <v>1755</v>
      </c>
      <c r="L763" s="3"/>
    </row>
    <row r="764" spans="2:12" ht="45" x14ac:dyDescent="0.25">
      <c r="B764" s="3">
        <v>778</v>
      </c>
      <c r="C764" s="12" t="s">
        <v>1540</v>
      </c>
      <c r="D764" s="12" t="s">
        <v>89</v>
      </c>
      <c r="E764" s="40" t="s">
        <v>1871</v>
      </c>
      <c r="F764" s="68">
        <v>1300</v>
      </c>
      <c r="G764" s="69" t="s">
        <v>1752</v>
      </c>
      <c r="H764" s="70" t="s">
        <v>81</v>
      </c>
      <c r="I764" s="12" t="s">
        <v>1753</v>
      </c>
      <c r="J764" s="8" t="s">
        <v>3</v>
      </c>
      <c r="K764" s="67" t="s">
        <v>1756</v>
      </c>
      <c r="L764" s="3"/>
    </row>
    <row r="765" spans="2:12" ht="45" x14ac:dyDescent="0.25">
      <c r="B765" s="1">
        <v>779</v>
      </c>
      <c r="C765" s="12" t="s">
        <v>1541</v>
      </c>
      <c r="D765" s="12" t="s">
        <v>85</v>
      </c>
      <c r="E765" s="40" t="s">
        <v>1869</v>
      </c>
      <c r="F765" s="68">
        <v>1400</v>
      </c>
      <c r="G765" s="69" t="s">
        <v>1752</v>
      </c>
      <c r="H765" s="70" t="s">
        <v>81</v>
      </c>
      <c r="I765" s="12" t="s">
        <v>1753</v>
      </c>
      <c r="J765" s="8" t="s">
        <v>3</v>
      </c>
      <c r="K765" s="67" t="s">
        <v>1757</v>
      </c>
      <c r="L765" s="3"/>
    </row>
    <row r="766" spans="2:12" ht="45" x14ac:dyDescent="0.25">
      <c r="B766" s="1">
        <v>780</v>
      </c>
      <c r="C766" s="12" t="s">
        <v>1541</v>
      </c>
      <c r="D766" s="12" t="s">
        <v>89</v>
      </c>
      <c r="E766" s="40" t="s">
        <v>1873</v>
      </c>
      <c r="F766" s="68">
        <v>3800</v>
      </c>
      <c r="G766" s="69" t="s">
        <v>1752</v>
      </c>
      <c r="H766" s="70" t="s">
        <v>81</v>
      </c>
      <c r="I766" s="12" t="s">
        <v>1753</v>
      </c>
      <c r="J766" s="8" t="s">
        <v>3</v>
      </c>
      <c r="K766" s="67" t="s">
        <v>1758</v>
      </c>
      <c r="L766" s="3"/>
    </row>
    <row r="767" spans="2:12" ht="45" x14ac:dyDescent="0.25">
      <c r="B767" s="3">
        <v>781</v>
      </c>
      <c r="C767" s="12" t="s">
        <v>444</v>
      </c>
      <c r="D767" s="12" t="s">
        <v>543</v>
      </c>
      <c r="E767" s="40" t="s">
        <v>1867</v>
      </c>
      <c r="F767" s="68">
        <v>4000</v>
      </c>
      <c r="G767" s="69" t="s">
        <v>1752</v>
      </c>
      <c r="H767" s="70" t="s">
        <v>81</v>
      </c>
      <c r="I767" s="12" t="s">
        <v>1753</v>
      </c>
      <c r="J767" s="8" t="s">
        <v>3</v>
      </c>
      <c r="K767" s="67" t="s">
        <v>1759</v>
      </c>
      <c r="L767" s="3"/>
    </row>
    <row r="768" spans="2:12" ht="45" x14ac:dyDescent="0.25">
      <c r="B768" s="3">
        <v>782</v>
      </c>
      <c r="C768" s="12" t="s">
        <v>1542</v>
      </c>
      <c r="D768" s="12" t="s">
        <v>1543</v>
      </c>
      <c r="E768" s="41">
        <v>6830</v>
      </c>
      <c r="F768" s="68">
        <v>10311</v>
      </c>
      <c r="G768" s="69" t="s">
        <v>1752</v>
      </c>
      <c r="H768" s="70" t="s">
        <v>81</v>
      </c>
      <c r="I768" s="12" t="s">
        <v>9</v>
      </c>
      <c r="J768" s="8" t="s">
        <v>1760</v>
      </c>
      <c r="K768" s="67"/>
      <c r="L768" s="3"/>
    </row>
    <row r="769" spans="2:12" ht="45" x14ac:dyDescent="0.25">
      <c r="B769" s="3">
        <v>6</v>
      </c>
      <c r="C769" s="12" t="s">
        <v>1530</v>
      </c>
      <c r="D769" s="12" t="s">
        <v>85</v>
      </c>
      <c r="E769" s="40" t="s">
        <v>1868</v>
      </c>
      <c r="F769" s="68">
        <v>203.85</v>
      </c>
      <c r="G769" s="69" t="s">
        <v>1752</v>
      </c>
      <c r="H769" s="70" t="s">
        <v>81</v>
      </c>
      <c r="I769" s="12" t="s">
        <v>19</v>
      </c>
      <c r="J769" s="8" t="s">
        <v>3</v>
      </c>
      <c r="K769" s="67" t="s">
        <v>1761</v>
      </c>
      <c r="L769" s="3"/>
    </row>
    <row r="770" spans="2:12" ht="45.75" x14ac:dyDescent="0.25">
      <c r="B770" s="1">
        <v>783</v>
      </c>
      <c r="C770" s="12" t="s">
        <v>1544</v>
      </c>
      <c r="D770" s="12" t="s">
        <v>1545</v>
      </c>
      <c r="E770" s="40" t="s">
        <v>1864</v>
      </c>
      <c r="F770" s="68">
        <v>100.8</v>
      </c>
      <c r="G770" s="69" t="s">
        <v>1762</v>
      </c>
      <c r="H770" s="70" t="s">
        <v>81</v>
      </c>
      <c r="I770" s="12" t="s">
        <v>19</v>
      </c>
      <c r="J770" s="8" t="s">
        <v>7</v>
      </c>
      <c r="K770" s="67" t="s">
        <v>1763</v>
      </c>
      <c r="L770" s="3"/>
    </row>
    <row r="771" spans="2:12" ht="45" x14ac:dyDescent="0.25">
      <c r="B771" s="1">
        <v>784</v>
      </c>
      <c r="C771" s="12" t="s">
        <v>146</v>
      </c>
      <c r="D771" s="12" t="s">
        <v>89</v>
      </c>
      <c r="E771" s="40" t="s">
        <v>2070</v>
      </c>
      <c r="F771" s="68">
        <v>2400</v>
      </c>
      <c r="G771" s="69" t="s">
        <v>1762</v>
      </c>
      <c r="H771" s="70" t="s">
        <v>81</v>
      </c>
      <c r="I771" s="12" t="s">
        <v>19</v>
      </c>
      <c r="J771" s="8" t="s">
        <v>3</v>
      </c>
      <c r="K771" s="67" t="s">
        <v>1764</v>
      </c>
      <c r="L771" s="3"/>
    </row>
    <row r="772" spans="2:12" ht="45" x14ac:dyDescent="0.25">
      <c r="B772" s="3">
        <v>785</v>
      </c>
      <c r="C772" s="12" t="s">
        <v>146</v>
      </c>
      <c r="D772" s="12" t="s">
        <v>297</v>
      </c>
      <c r="E772" s="40" t="s">
        <v>1414</v>
      </c>
      <c r="F772" s="68">
        <v>660</v>
      </c>
      <c r="G772" s="69" t="s">
        <v>1762</v>
      </c>
      <c r="H772" s="70" t="s">
        <v>81</v>
      </c>
      <c r="I772" s="12" t="s">
        <v>19</v>
      </c>
      <c r="J772" s="8" t="s">
        <v>3</v>
      </c>
      <c r="K772" s="67" t="s">
        <v>1765</v>
      </c>
      <c r="L772" s="3"/>
    </row>
    <row r="773" spans="2:12" ht="45" x14ac:dyDescent="0.25">
      <c r="B773" s="3">
        <v>786</v>
      </c>
      <c r="C773" s="12" t="s">
        <v>103</v>
      </c>
      <c r="D773" s="12" t="s">
        <v>104</v>
      </c>
      <c r="E773" s="40" t="s">
        <v>1881</v>
      </c>
      <c r="F773" s="68">
        <v>8930.2999999999993</v>
      </c>
      <c r="G773" s="69" t="s">
        <v>1766</v>
      </c>
      <c r="H773" s="70" t="s">
        <v>81</v>
      </c>
      <c r="I773" s="12" t="s">
        <v>1767</v>
      </c>
      <c r="J773" s="8" t="s">
        <v>3</v>
      </c>
      <c r="K773" s="67" t="s">
        <v>1880</v>
      </c>
      <c r="L773" s="3"/>
    </row>
    <row r="774" spans="2:12" ht="90" x14ac:dyDescent="0.25">
      <c r="B774" s="1">
        <v>787</v>
      </c>
      <c r="C774" s="12" t="s">
        <v>1546</v>
      </c>
      <c r="D774" s="12" t="s">
        <v>1547</v>
      </c>
      <c r="E774" s="40" t="s">
        <v>2018</v>
      </c>
      <c r="F774" s="68">
        <v>17696</v>
      </c>
      <c r="G774" s="69" t="s">
        <v>1768</v>
      </c>
      <c r="H774" s="70" t="s">
        <v>81</v>
      </c>
      <c r="I774" s="12" t="s">
        <v>19</v>
      </c>
      <c r="J774" s="12" t="s">
        <v>284</v>
      </c>
      <c r="K774" s="67" t="s">
        <v>1769</v>
      </c>
      <c r="L774" s="3"/>
    </row>
    <row r="775" spans="2:12" ht="45" x14ac:dyDescent="0.25">
      <c r="B775" s="1">
        <v>788</v>
      </c>
      <c r="C775" s="12" t="s">
        <v>1480</v>
      </c>
      <c r="D775" s="12" t="s">
        <v>83</v>
      </c>
      <c r="E775" s="40" t="s">
        <v>1897</v>
      </c>
      <c r="F775" s="68">
        <v>2317.5</v>
      </c>
      <c r="G775" s="69" t="s">
        <v>1768</v>
      </c>
      <c r="H775" s="70" t="s">
        <v>81</v>
      </c>
      <c r="I775" s="12" t="s">
        <v>19</v>
      </c>
      <c r="J775" s="12" t="s">
        <v>3</v>
      </c>
      <c r="K775" s="67" t="s">
        <v>1882</v>
      </c>
      <c r="L775" s="3"/>
    </row>
    <row r="776" spans="2:12" ht="45" x14ac:dyDescent="0.25">
      <c r="B776" s="3">
        <v>789</v>
      </c>
      <c r="C776" s="12" t="s">
        <v>1548</v>
      </c>
      <c r="D776" s="12" t="s">
        <v>543</v>
      </c>
      <c r="E776" s="40" t="s">
        <v>2017</v>
      </c>
      <c r="F776" s="68">
        <v>2145</v>
      </c>
      <c r="G776" s="69" t="s">
        <v>1768</v>
      </c>
      <c r="H776" s="70" t="s">
        <v>81</v>
      </c>
      <c r="I776" s="12" t="s">
        <v>19</v>
      </c>
      <c r="J776" s="12" t="s">
        <v>3</v>
      </c>
      <c r="K776" s="67" t="s">
        <v>1883</v>
      </c>
      <c r="L776" s="3"/>
    </row>
    <row r="777" spans="2:12" ht="45" x14ac:dyDescent="0.25">
      <c r="B777" s="3">
        <v>790</v>
      </c>
      <c r="C777" s="12" t="s">
        <v>103</v>
      </c>
      <c r="D777" s="12" t="s">
        <v>104</v>
      </c>
      <c r="E777" s="40">
        <v>757</v>
      </c>
      <c r="F777" s="68">
        <v>757</v>
      </c>
      <c r="G777" s="69" t="s">
        <v>1768</v>
      </c>
      <c r="H777" s="70" t="s">
        <v>81</v>
      </c>
      <c r="I777" s="12" t="s">
        <v>19</v>
      </c>
      <c r="J777" s="12" t="s">
        <v>3</v>
      </c>
      <c r="K777" s="67" t="s">
        <v>1884</v>
      </c>
      <c r="L777" s="3"/>
    </row>
    <row r="778" spans="2:12" ht="45" x14ac:dyDescent="0.25">
      <c r="B778" s="1">
        <v>791</v>
      </c>
      <c r="C778" s="12" t="s">
        <v>103</v>
      </c>
      <c r="D778" s="12" t="s">
        <v>104</v>
      </c>
      <c r="E778" s="40">
        <v>757</v>
      </c>
      <c r="F778" s="68">
        <v>757</v>
      </c>
      <c r="G778" s="69" t="s">
        <v>1768</v>
      </c>
      <c r="H778" s="70" t="s">
        <v>81</v>
      </c>
      <c r="I778" s="12" t="s">
        <v>19</v>
      </c>
      <c r="J778" s="12" t="s">
        <v>3</v>
      </c>
      <c r="K778" s="67" t="s">
        <v>1885</v>
      </c>
      <c r="L778" s="3"/>
    </row>
    <row r="779" spans="2:12" ht="45" x14ac:dyDescent="0.25">
      <c r="B779" s="1">
        <v>792</v>
      </c>
      <c r="C779" s="12" t="s">
        <v>444</v>
      </c>
      <c r="D779" s="12" t="s">
        <v>543</v>
      </c>
      <c r="E779" s="40" t="s">
        <v>2023</v>
      </c>
      <c r="F779" s="68">
        <v>5500</v>
      </c>
      <c r="G779" s="69" t="s">
        <v>1768</v>
      </c>
      <c r="H779" s="70" t="s">
        <v>81</v>
      </c>
      <c r="I779" s="12" t="s">
        <v>19</v>
      </c>
      <c r="J779" s="12" t="s">
        <v>3</v>
      </c>
      <c r="K779" s="67" t="s">
        <v>1887</v>
      </c>
      <c r="L779" s="3"/>
    </row>
    <row r="780" spans="2:12" ht="45" x14ac:dyDescent="0.25">
      <c r="B780" s="3">
        <v>793</v>
      </c>
      <c r="C780" s="12" t="s">
        <v>1886</v>
      </c>
      <c r="D780" s="12" t="s">
        <v>85</v>
      </c>
      <c r="E780" s="40" t="s">
        <v>2016</v>
      </c>
      <c r="F780" s="68">
        <v>550.03</v>
      </c>
      <c r="G780" s="69" t="s">
        <v>1768</v>
      </c>
      <c r="H780" s="70" t="s">
        <v>81</v>
      </c>
      <c r="I780" s="12" t="s">
        <v>19</v>
      </c>
      <c r="J780" s="12" t="s">
        <v>3</v>
      </c>
      <c r="K780" s="67" t="s">
        <v>1888</v>
      </c>
      <c r="L780" s="3"/>
    </row>
    <row r="781" spans="2:12" ht="45" x14ac:dyDescent="0.25">
      <c r="B781" s="3">
        <v>794</v>
      </c>
      <c r="C781" s="12" t="s">
        <v>1886</v>
      </c>
      <c r="D781" s="12" t="s">
        <v>85</v>
      </c>
      <c r="E781" s="40" t="s">
        <v>2015</v>
      </c>
      <c r="F781" s="68">
        <v>8151.51</v>
      </c>
      <c r="G781" s="69" t="s">
        <v>1768</v>
      </c>
      <c r="H781" s="70" t="s">
        <v>81</v>
      </c>
      <c r="I781" s="12" t="s">
        <v>19</v>
      </c>
      <c r="J781" s="12" t="s">
        <v>3</v>
      </c>
      <c r="K781" s="67" t="s">
        <v>1889</v>
      </c>
      <c r="L781" s="3"/>
    </row>
    <row r="782" spans="2:12" ht="45" x14ac:dyDescent="0.25">
      <c r="B782" s="3">
        <v>7</v>
      </c>
      <c r="C782" s="12" t="s">
        <v>1232</v>
      </c>
      <c r="D782" s="12" t="s">
        <v>89</v>
      </c>
      <c r="E782" s="40">
        <v>932.2</v>
      </c>
      <c r="F782" s="68">
        <v>932.2</v>
      </c>
      <c r="G782" s="69" t="s">
        <v>1768</v>
      </c>
      <c r="H782" s="70" t="s">
        <v>81</v>
      </c>
      <c r="I782" s="12" t="s">
        <v>19</v>
      </c>
      <c r="J782" s="12" t="s">
        <v>3</v>
      </c>
      <c r="K782" s="67" t="s">
        <v>1874</v>
      </c>
      <c r="L782" s="3"/>
    </row>
    <row r="783" spans="2:12" ht="45" x14ac:dyDescent="0.25">
      <c r="B783" s="1">
        <v>795</v>
      </c>
      <c r="C783" s="12" t="s">
        <v>986</v>
      </c>
      <c r="D783" s="12" t="s">
        <v>543</v>
      </c>
      <c r="E783" s="40" t="s">
        <v>1895</v>
      </c>
      <c r="F783" s="68">
        <v>1450</v>
      </c>
      <c r="G783" s="69" t="s">
        <v>1770</v>
      </c>
      <c r="H783" s="70" t="s">
        <v>81</v>
      </c>
      <c r="I783" s="12" t="s">
        <v>19</v>
      </c>
      <c r="J783" s="12" t="s">
        <v>3</v>
      </c>
      <c r="K783" s="67" t="s">
        <v>1890</v>
      </c>
      <c r="L783" s="3"/>
    </row>
    <row r="784" spans="2:12" ht="45" x14ac:dyDescent="0.25">
      <c r="B784" s="1">
        <v>796</v>
      </c>
      <c r="C784" s="12" t="s">
        <v>1549</v>
      </c>
      <c r="D784" s="12" t="s">
        <v>83</v>
      </c>
      <c r="E784" s="40" t="s">
        <v>1896</v>
      </c>
      <c r="F784" s="68">
        <v>1535.7</v>
      </c>
      <c r="G784" s="69" t="s">
        <v>1770</v>
      </c>
      <c r="H784" s="70" t="s">
        <v>81</v>
      </c>
      <c r="I784" s="12" t="s">
        <v>19</v>
      </c>
      <c r="J784" s="12" t="s">
        <v>3</v>
      </c>
      <c r="K784" s="67" t="s">
        <v>1891</v>
      </c>
      <c r="L784" s="3"/>
    </row>
    <row r="785" spans="2:12" ht="45" x14ac:dyDescent="0.25">
      <c r="B785" s="3">
        <v>797</v>
      </c>
      <c r="C785" s="12" t="s">
        <v>801</v>
      </c>
      <c r="D785" s="12" t="s">
        <v>89</v>
      </c>
      <c r="E785" s="40">
        <v>157.85</v>
      </c>
      <c r="F785" s="68">
        <v>160</v>
      </c>
      <c r="G785" s="69" t="s">
        <v>1770</v>
      </c>
      <c r="H785" s="70" t="s">
        <v>81</v>
      </c>
      <c r="I785" s="12" t="s">
        <v>19</v>
      </c>
      <c r="J785" s="12" t="s">
        <v>3</v>
      </c>
      <c r="K785" s="67" t="s">
        <v>1892</v>
      </c>
      <c r="L785" s="3"/>
    </row>
    <row r="786" spans="2:12" ht="45" x14ac:dyDescent="0.25">
      <c r="B786" s="3">
        <v>798</v>
      </c>
      <c r="C786" s="12" t="s">
        <v>645</v>
      </c>
      <c r="D786" s="12" t="s">
        <v>89</v>
      </c>
      <c r="E786" s="40" t="s">
        <v>1894</v>
      </c>
      <c r="F786" s="68">
        <v>200</v>
      </c>
      <c r="G786" s="69" t="s">
        <v>1770</v>
      </c>
      <c r="H786" s="70" t="s">
        <v>81</v>
      </c>
      <c r="I786" s="12" t="s">
        <v>19</v>
      </c>
      <c r="J786" s="12" t="s">
        <v>3</v>
      </c>
      <c r="K786" s="67" t="s">
        <v>1893</v>
      </c>
      <c r="L786" s="3"/>
    </row>
    <row r="787" spans="2:12" ht="90" x14ac:dyDescent="0.25">
      <c r="B787" s="1">
        <v>799</v>
      </c>
      <c r="C787" s="12" t="s">
        <v>1550</v>
      </c>
      <c r="D787" s="12" t="s">
        <v>101</v>
      </c>
      <c r="E787" s="40">
        <f>12853.26+2282.14</f>
        <v>15135.4</v>
      </c>
      <c r="F787" s="68">
        <v>14920</v>
      </c>
      <c r="G787" s="69" t="s">
        <v>1770</v>
      </c>
      <c r="H787" s="70" t="s">
        <v>81</v>
      </c>
      <c r="I787" s="12" t="s">
        <v>19</v>
      </c>
      <c r="J787" s="12" t="s">
        <v>284</v>
      </c>
      <c r="K787" s="67" t="s">
        <v>2028</v>
      </c>
      <c r="L787" s="3"/>
    </row>
    <row r="788" spans="2:12" ht="90" x14ac:dyDescent="0.25">
      <c r="B788" s="1">
        <v>800</v>
      </c>
      <c r="C788" s="12" t="s">
        <v>1551</v>
      </c>
      <c r="D788" s="12" t="s">
        <v>101</v>
      </c>
      <c r="E788" s="40">
        <f>7575.25+7507.5</f>
        <v>15082.75</v>
      </c>
      <c r="F788" s="68">
        <v>16815</v>
      </c>
      <c r="G788" s="69" t="s">
        <v>1770</v>
      </c>
      <c r="H788" s="70" t="s">
        <v>81</v>
      </c>
      <c r="I788" s="12" t="s">
        <v>19</v>
      </c>
      <c r="J788" s="12" t="s">
        <v>284</v>
      </c>
      <c r="K788" s="67" t="s">
        <v>2427</v>
      </c>
      <c r="L788" s="3"/>
    </row>
    <row r="789" spans="2:12" ht="45" x14ac:dyDescent="0.25">
      <c r="B789" s="3">
        <v>801</v>
      </c>
      <c r="C789" s="12" t="s">
        <v>645</v>
      </c>
      <c r="D789" s="12" t="s">
        <v>89</v>
      </c>
      <c r="E789" s="40">
        <v>117.7</v>
      </c>
      <c r="F789" s="68">
        <v>120</v>
      </c>
      <c r="G789" s="69" t="s">
        <v>1935</v>
      </c>
      <c r="H789" s="70" t="s">
        <v>81</v>
      </c>
      <c r="I789" s="12" t="s">
        <v>19</v>
      </c>
      <c r="J789" s="12" t="s">
        <v>3</v>
      </c>
      <c r="K789" s="67" t="s">
        <v>1936</v>
      </c>
      <c r="L789" s="3"/>
    </row>
    <row r="790" spans="2:12" ht="45" x14ac:dyDescent="0.25">
      <c r="B790" s="3">
        <v>802</v>
      </c>
      <c r="C790" s="12" t="s">
        <v>890</v>
      </c>
      <c r="D790" s="12" t="s">
        <v>85</v>
      </c>
      <c r="E790" s="40">
        <v>879.5</v>
      </c>
      <c r="F790" s="68">
        <v>879.5</v>
      </c>
      <c r="G790" s="69" t="s">
        <v>1935</v>
      </c>
      <c r="H790" s="70" t="s">
        <v>81</v>
      </c>
      <c r="I790" s="12" t="s">
        <v>19</v>
      </c>
      <c r="J790" s="12" t="s">
        <v>3</v>
      </c>
      <c r="K790" s="67" t="s">
        <v>1937</v>
      </c>
      <c r="L790" s="3"/>
    </row>
    <row r="791" spans="2:12" ht="45" x14ac:dyDescent="0.25">
      <c r="B791" s="1">
        <v>803</v>
      </c>
      <c r="C791" s="12" t="s">
        <v>1236</v>
      </c>
      <c r="D791" s="12" t="s">
        <v>543</v>
      </c>
      <c r="E791" s="40" t="s">
        <v>2026</v>
      </c>
      <c r="F791" s="68">
        <v>640</v>
      </c>
      <c r="G791" s="69" t="s">
        <v>1935</v>
      </c>
      <c r="H791" s="70" t="s">
        <v>81</v>
      </c>
      <c r="I791" s="12" t="s">
        <v>19</v>
      </c>
      <c r="J791" s="12" t="s">
        <v>3</v>
      </c>
      <c r="K791" s="67" t="s">
        <v>1938</v>
      </c>
      <c r="L791" s="3"/>
    </row>
    <row r="792" spans="2:12" ht="67.5" customHeight="1" x14ac:dyDescent="0.25">
      <c r="B792" s="1">
        <v>804</v>
      </c>
      <c r="C792" s="3" t="s">
        <v>1236</v>
      </c>
      <c r="D792" s="3" t="s">
        <v>83</v>
      </c>
      <c r="E792" s="40">
        <v>733</v>
      </c>
      <c r="F792" s="4">
        <v>733</v>
      </c>
      <c r="G792" s="5" t="s">
        <v>1935</v>
      </c>
      <c r="H792" s="6" t="s">
        <v>81</v>
      </c>
      <c r="I792" s="12" t="s">
        <v>19</v>
      </c>
      <c r="J792" s="17" t="s">
        <v>3</v>
      </c>
      <c r="K792" s="67" t="s">
        <v>1939</v>
      </c>
      <c r="L792" s="3"/>
    </row>
    <row r="793" spans="2:12" ht="45" x14ac:dyDescent="0.25">
      <c r="B793" s="3">
        <v>805</v>
      </c>
      <c r="C793" s="3" t="s">
        <v>1901</v>
      </c>
      <c r="D793" s="3" t="s">
        <v>89</v>
      </c>
      <c r="E793" s="40">
        <v>100</v>
      </c>
      <c r="F793" s="4">
        <v>100</v>
      </c>
      <c r="G793" s="5" t="s">
        <v>1935</v>
      </c>
      <c r="H793" s="6" t="s">
        <v>81</v>
      </c>
      <c r="I793" s="12" t="s">
        <v>19</v>
      </c>
      <c r="J793" s="12" t="s">
        <v>3</v>
      </c>
      <c r="K793" s="67" t="s">
        <v>1940</v>
      </c>
      <c r="L793" s="3"/>
    </row>
    <row r="794" spans="2:12" ht="45" x14ac:dyDescent="0.25">
      <c r="B794" s="3">
        <v>806</v>
      </c>
      <c r="C794" s="3" t="s">
        <v>625</v>
      </c>
      <c r="D794" s="3" t="s">
        <v>85</v>
      </c>
      <c r="E794" s="40">
        <v>222.95</v>
      </c>
      <c r="F794" s="4">
        <v>222.95</v>
      </c>
      <c r="G794" s="5" t="s">
        <v>1941</v>
      </c>
      <c r="H794" s="6" t="s">
        <v>81</v>
      </c>
      <c r="I794" s="12" t="s">
        <v>19</v>
      </c>
      <c r="J794" s="12" t="s">
        <v>3</v>
      </c>
      <c r="K794" s="67" t="s">
        <v>1942</v>
      </c>
      <c r="L794" s="3"/>
    </row>
    <row r="795" spans="2:12" ht="90" x14ac:dyDescent="0.25">
      <c r="B795" s="1">
        <v>807</v>
      </c>
      <c r="C795" s="3" t="s">
        <v>489</v>
      </c>
      <c r="D795" s="3" t="s">
        <v>101</v>
      </c>
      <c r="E795" s="40" t="s">
        <v>428</v>
      </c>
      <c r="F795" s="4">
        <v>1500</v>
      </c>
      <c r="G795" s="5" t="s">
        <v>1941</v>
      </c>
      <c r="H795" s="6" t="s">
        <v>81</v>
      </c>
      <c r="I795" s="12" t="s">
        <v>19</v>
      </c>
      <c r="J795" s="17" t="s">
        <v>284</v>
      </c>
      <c r="K795" s="67" t="s">
        <v>1943</v>
      </c>
      <c r="L795" s="3"/>
    </row>
    <row r="796" spans="2:12" ht="45" x14ac:dyDescent="0.25">
      <c r="B796" s="1">
        <v>8</v>
      </c>
      <c r="C796" s="3" t="s">
        <v>890</v>
      </c>
      <c r="D796" s="3" t="s">
        <v>85</v>
      </c>
      <c r="E796" s="40" t="s">
        <v>2024</v>
      </c>
      <c r="F796" s="4">
        <v>4549.8</v>
      </c>
      <c r="G796" s="5" t="s">
        <v>1944</v>
      </c>
      <c r="H796" s="6" t="s">
        <v>81</v>
      </c>
      <c r="I796" s="12" t="s">
        <v>19</v>
      </c>
      <c r="J796" s="17" t="s">
        <v>3</v>
      </c>
      <c r="K796" s="67" t="s">
        <v>1945</v>
      </c>
      <c r="L796" s="3"/>
    </row>
    <row r="797" spans="2:12" ht="90" x14ac:dyDescent="0.25">
      <c r="B797" s="1">
        <v>808</v>
      </c>
      <c r="C797" s="3" t="s">
        <v>1902</v>
      </c>
      <c r="D797" s="3" t="s">
        <v>1903</v>
      </c>
      <c r="E797" s="40">
        <f>900000+692356+192694</f>
        <v>1785050</v>
      </c>
      <c r="F797" s="4" t="s">
        <v>2645</v>
      </c>
      <c r="G797" s="5" t="s">
        <v>1946</v>
      </c>
      <c r="H797" s="6" t="s">
        <v>81</v>
      </c>
      <c r="I797" s="12" t="s">
        <v>19</v>
      </c>
      <c r="J797" s="10" t="s">
        <v>1714</v>
      </c>
      <c r="K797" s="67" t="s">
        <v>1947</v>
      </c>
      <c r="L797" s="3"/>
    </row>
    <row r="798" spans="2:12" ht="45" x14ac:dyDescent="0.25">
      <c r="B798" s="3">
        <v>809</v>
      </c>
      <c r="C798" s="3" t="s">
        <v>170</v>
      </c>
      <c r="D798" s="3" t="s">
        <v>83</v>
      </c>
      <c r="E798" s="40" t="s">
        <v>2021</v>
      </c>
      <c r="F798" s="4">
        <v>2187.5</v>
      </c>
      <c r="G798" s="5" t="s">
        <v>1948</v>
      </c>
      <c r="H798" s="6" t="s">
        <v>81</v>
      </c>
      <c r="I798" s="12" t="s">
        <v>19</v>
      </c>
      <c r="J798" s="12" t="s">
        <v>3</v>
      </c>
      <c r="K798" s="67" t="s">
        <v>1949</v>
      </c>
      <c r="L798" s="3"/>
    </row>
    <row r="799" spans="2:12" ht="45" x14ac:dyDescent="0.25">
      <c r="B799" s="3">
        <v>810</v>
      </c>
      <c r="C799" s="3" t="s">
        <v>986</v>
      </c>
      <c r="D799" s="3" t="s">
        <v>543</v>
      </c>
      <c r="E799" s="40" t="s">
        <v>2020</v>
      </c>
      <c r="F799" s="4">
        <v>1900</v>
      </c>
      <c r="G799" s="5" t="s">
        <v>1948</v>
      </c>
      <c r="H799" s="6" t="s">
        <v>81</v>
      </c>
      <c r="I799" s="12" t="s">
        <v>19</v>
      </c>
      <c r="J799" s="12" t="s">
        <v>3</v>
      </c>
      <c r="K799" s="67" t="s">
        <v>1950</v>
      </c>
      <c r="L799" s="3"/>
    </row>
    <row r="800" spans="2:12" ht="45" x14ac:dyDescent="0.25">
      <c r="B800" s="1">
        <v>811</v>
      </c>
      <c r="C800" s="3" t="s">
        <v>1206</v>
      </c>
      <c r="D800" s="3" t="s">
        <v>85</v>
      </c>
      <c r="E800" s="40" t="s">
        <v>2019</v>
      </c>
      <c r="F800" s="4">
        <v>2700</v>
      </c>
      <c r="G800" s="5" t="s">
        <v>1948</v>
      </c>
      <c r="H800" s="6" t="s">
        <v>81</v>
      </c>
      <c r="I800" s="12" t="s">
        <v>19</v>
      </c>
      <c r="J800" s="12" t="s">
        <v>3</v>
      </c>
      <c r="K800" s="67" t="s">
        <v>1951</v>
      </c>
      <c r="L800" s="3"/>
    </row>
    <row r="801" spans="2:12" ht="45" x14ac:dyDescent="0.25">
      <c r="B801" s="1">
        <v>812</v>
      </c>
      <c r="C801" s="3" t="s">
        <v>1904</v>
      </c>
      <c r="D801" s="3" t="s">
        <v>89</v>
      </c>
      <c r="E801" s="40">
        <v>78.650000000000006</v>
      </c>
      <c r="F801" s="4">
        <v>80</v>
      </c>
      <c r="G801" s="5" t="s">
        <v>1948</v>
      </c>
      <c r="H801" s="6" t="s">
        <v>81</v>
      </c>
      <c r="I801" s="12" t="s">
        <v>19</v>
      </c>
      <c r="J801" s="12" t="s">
        <v>3</v>
      </c>
      <c r="K801" s="67" t="s">
        <v>1952</v>
      </c>
      <c r="L801" s="3"/>
    </row>
    <row r="802" spans="2:12" ht="45" x14ac:dyDescent="0.25">
      <c r="B802" s="3">
        <v>813</v>
      </c>
      <c r="C802" s="3" t="s">
        <v>1905</v>
      </c>
      <c r="D802" s="3" t="s">
        <v>89</v>
      </c>
      <c r="E802" s="40">
        <v>73.150000000000006</v>
      </c>
      <c r="F802" s="4">
        <v>100</v>
      </c>
      <c r="G802" s="5" t="s">
        <v>1948</v>
      </c>
      <c r="H802" s="6" t="s">
        <v>81</v>
      </c>
      <c r="I802" s="12" t="s">
        <v>19</v>
      </c>
      <c r="J802" s="12" t="s">
        <v>3</v>
      </c>
      <c r="K802" s="67" t="s">
        <v>1953</v>
      </c>
      <c r="L802" s="3"/>
    </row>
    <row r="803" spans="2:12" ht="45" x14ac:dyDescent="0.25">
      <c r="B803" s="1">
        <v>815</v>
      </c>
      <c r="C803" s="3" t="s">
        <v>1906</v>
      </c>
      <c r="D803" s="3" t="s">
        <v>89</v>
      </c>
      <c r="E803" s="40">
        <v>63.47</v>
      </c>
      <c r="F803" s="4">
        <v>100</v>
      </c>
      <c r="G803" s="5" t="s">
        <v>1948</v>
      </c>
      <c r="H803" s="6" t="s">
        <v>81</v>
      </c>
      <c r="I803" s="12" t="s">
        <v>19</v>
      </c>
      <c r="J803" s="12" t="s">
        <v>3</v>
      </c>
      <c r="K803" s="67" t="s">
        <v>1954</v>
      </c>
      <c r="L803" s="3"/>
    </row>
    <row r="804" spans="2:12" ht="45" x14ac:dyDescent="0.25">
      <c r="B804" s="3">
        <v>817</v>
      </c>
      <c r="C804" s="3" t="s">
        <v>800</v>
      </c>
      <c r="D804" s="3" t="s">
        <v>85</v>
      </c>
      <c r="E804" s="40">
        <v>500</v>
      </c>
      <c r="F804" s="4">
        <v>500</v>
      </c>
      <c r="G804" s="5" t="s">
        <v>1948</v>
      </c>
      <c r="H804" s="6" t="s">
        <v>81</v>
      </c>
      <c r="I804" s="12" t="s">
        <v>19</v>
      </c>
      <c r="J804" s="12" t="s">
        <v>3</v>
      </c>
      <c r="K804" s="67" t="s">
        <v>1955</v>
      </c>
      <c r="L804" s="3"/>
    </row>
    <row r="805" spans="2:12" ht="45" x14ac:dyDescent="0.25">
      <c r="B805" s="3">
        <v>818</v>
      </c>
      <c r="C805" s="3" t="s">
        <v>799</v>
      </c>
      <c r="D805" s="3" t="s">
        <v>89</v>
      </c>
      <c r="E805" s="40">
        <v>199.1</v>
      </c>
      <c r="F805" s="4">
        <v>200</v>
      </c>
      <c r="G805" s="5" t="s">
        <v>1948</v>
      </c>
      <c r="H805" s="6" t="s">
        <v>81</v>
      </c>
      <c r="I805" s="12" t="s">
        <v>19</v>
      </c>
      <c r="J805" s="12" t="s">
        <v>3</v>
      </c>
      <c r="K805" s="67" t="s">
        <v>1956</v>
      </c>
      <c r="L805" s="3"/>
    </row>
    <row r="806" spans="2:12" ht="90" x14ac:dyDescent="0.25">
      <c r="B806" s="1">
        <v>819</v>
      </c>
      <c r="C806" s="3" t="s">
        <v>265</v>
      </c>
      <c r="D806" s="3" t="s">
        <v>1547</v>
      </c>
      <c r="E806" s="40" t="s">
        <v>2036</v>
      </c>
      <c r="F806" s="4">
        <v>22780</v>
      </c>
      <c r="G806" s="5" t="s">
        <v>1948</v>
      </c>
      <c r="H806" s="6" t="s">
        <v>81</v>
      </c>
      <c r="I806" s="12" t="s">
        <v>19</v>
      </c>
      <c r="J806" s="12" t="s">
        <v>284</v>
      </c>
      <c r="K806" s="67" t="s">
        <v>1957</v>
      </c>
      <c r="L806" s="3"/>
    </row>
    <row r="807" spans="2:12" ht="45" x14ac:dyDescent="0.25">
      <c r="B807" s="3">
        <v>821</v>
      </c>
      <c r="C807" s="3" t="s">
        <v>103</v>
      </c>
      <c r="D807" s="3" t="s">
        <v>104</v>
      </c>
      <c r="E807" s="40" t="s">
        <v>2022</v>
      </c>
      <c r="F807" s="4">
        <v>2946</v>
      </c>
      <c r="G807" s="5" t="s">
        <v>1948</v>
      </c>
      <c r="H807" s="6" t="s">
        <v>81</v>
      </c>
      <c r="I807" s="12" t="s">
        <v>19</v>
      </c>
      <c r="J807" s="12" t="s">
        <v>3</v>
      </c>
      <c r="K807" s="76" t="s">
        <v>1958</v>
      </c>
      <c r="L807" s="3"/>
    </row>
    <row r="808" spans="2:12" x14ac:dyDescent="0.25">
      <c r="B808" s="3">
        <v>822</v>
      </c>
      <c r="C808" s="3" t="s">
        <v>1907</v>
      </c>
      <c r="D808" s="3" t="s">
        <v>1547</v>
      </c>
      <c r="E808" s="43">
        <f>9400+46186+4404</f>
        <v>59990</v>
      </c>
      <c r="F808" s="4">
        <v>59990</v>
      </c>
      <c r="G808" s="5" t="s">
        <v>1959</v>
      </c>
      <c r="H808" s="6" t="s">
        <v>26</v>
      </c>
      <c r="I808" s="12" t="s">
        <v>19</v>
      </c>
      <c r="J808" s="12" t="s">
        <v>1960</v>
      </c>
      <c r="K808" s="67"/>
      <c r="L808" s="3"/>
    </row>
    <row r="809" spans="2:12" ht="45" x14ac:dyDescent="0.25">
      <c r="B809" s="1">
        <v>823</v>
      </c>
      <c r="C809" s="3" t="s">
        <v>1908</v>
      </c>
      <c r="D809" s="3" t="s">
        <v>104</v>
      </c>
      <c r="E809" s="40" t="s">
        <v>2025</v>
      </c>
      <c r="F809" s="4">
        <v>4609.3999999999996</v>
      </c>
      <c r="G809" s="5" t="s">
        <v>1961</v>
      </c>
      <c r="H809" s="6" t="s">
        <v>81</v>
      </c>
      <c r="I809" s="12" t="s">
        <v>19</v>
      </c>
      <c r="J809" s="12" t="s">
        <v>3</v>
      </c>
      <c r="K809" s="67" t="s">
        <v>1962</v>
      </c>
      <c r="L809" s="3"/>
    </row>
    <row r="810" spans="2:12" ht="45" x14ac:dyDescent="0.25">
      <c r="B810" s="1">
        <v>824</v>
      </c>
      <c r="C810" s="3" t="s">
        <v>986</v>
      </c>
      <c r="D810" s="3" t="s">
        <v>543</v>
      </c>
      <c r="E810" s="40">
        <v>900</v>
      </c>
      <c r="F810" s="4">
        <v>900</v>
      </c>
      <c r="G810" s="5" t="s">
        <v>1963</v>
      </c>
      <c r="H810" s="6" t="s">
        <v>81</v>
      </c>
      <c r="I810" s="12" t="s">
        <v>19</v>
      </c>
      <c r="J810" s="12" t="s">
        <v>3</v>
      </c>
      <c r="K810" s="67" t="s">
        <v>1964</v>
      </c>
      <c r="L810" s="3"/>
    </row>
    <row r="811" spans="2:12" ht="45" x14ac:dyDescent="0.25">
      <c r="B811" s="3">
        <v>825</v>
      </c>
      <c r="C811" s="3" t="s">
        <v>1909</v>
      </c>
      <c r="D811" s="3" t="s">
        <v>85</v>
      </c>
      <c r="E811" s="40" t="s">
        <v>2027</v>
      </c>
      <c r="F811" s="4">
        <v>1341</v>
      </c>
      <c r="G811" s="5" t="s">
        <v>1963</v>
      </c>
      <c r="H811" s="6" t="s">
        <v>81</v>
      </c>
      <c r="I811" s="12" t="s">
        <v>19</v>
      </c>
      <c r="J811" s="12" t="s">
        <v>3</v>
      </c>
      <c r="K811" s="67" t="s">
        <v>1965</v>
      </c>
      <c r="L811" s="3"/>
    </row>
    <row r="812" spans="2:12" ht="45" x14ac:dyDescent="0.25">
      <c r="B812" s="3">
        <v>826</v>
      </c>
      <c r="C812" s="3" t="s">
        <v>1909</v>
      </c>
      <c r="D812" s="3" t="s">
        <v>89</v>
      </c>
      <c r="E812" s="40">
        <v>306.35000000000002</v>
      </c>
      <c r="F812" s="4">
        <v>880</v>
      </c>
      <c r="G812" s="5" t="s">
        <v>1963</v>
      </c>
      <c r="H812" s="6" t="s">
        <v>81</v>
      </c>
      <c r="I812" s="12" t="s">
        <v>19</v>
      </c>
      <c r="J812" s="12" t="s">
        <v>3</v>
      </c>
      <c r="K812" s="67" t="s">
        <v>1966</v>
      </c>
      <c r="L812" s="3"/>
    </row>
    <row r="813" spans="2:12" ht="67.5" customHeight="1" x14ac:dyDescent="0.25">
      <c r="B813" s="1">
        <v>828</v>
      </c>
      <c r="C813" s="3" t="s">
        <v>393</v>
      </c>
      <c r="D813" s="3" t="s">
        <v>83</v>
      </c>
      <c r="E813" s="40" t="s">
        <v>1329</v>
      </c>
      <c r="F813" s="4">
        <v>1850</v>
      </c>
      <c r="G813" s="5" t="s">
        <v>1963</v>
      </c>
      <c r="H813" s="6" t="s">
        <v>81</v>
      </c>
      <c r="I813" s="12" t="s">
        <v>19</v>
      </c>
      <c r="J813" s="12" t="s">
        <v>3</v>
      </c>
      <c r="K813" s="67" t="s">
        <v>1967</v>
      </c>
      <c r="L813" s="3"/>
    </row>
    <row r="814" spans="2:12" ht="45" x14ac:dyDescent="0.25">
      <c r="B814" s="3">
        <v>829</v>
      </c>
      <c r="C814" s="3" t="s">
        <v>393</v>
      </c>
      <c r="D814" s="3" t="s">
        <v>543</v>
      </c>
      <c r="E814" s="40" t="s">
        <v>1855</v>
      </c>
      <c r="F814" s="4">
        <v>2100</v>
      </c>
      <c r="G814" s="5" t="s">
        <v>1963</v>
      </c>
      <c r="H814" s="6" t="s">
        <v>81</v>
      </c>
      <c r="I814" s="12" t="s">
        <v>19</v>
      </c>
      <c r="J814" s="12" t="s">
        <v>3</v>
      </c>
      <c r="K814" s="67" t="s">
        <v>1968</v>
      </c>
      <c r="L814" s="3"/>
    </row>
    <row r="815" spans="2:12" ht="45" x14ac:dyDescent="0.25">
      <c r="B815" s="3">
        <v>830</v>
      </c>
      <c r="C815" s="3" t="s">
        <v>588</v>
      </c>
      <c r="D815" s="3" t="s">
        <v>85</v>
      </c>
      <c r="E815" s="40">
        <v>212.5</v>
      </c>
      <c r="F815" s="4">
        <v>212.5</v>
      </c>
      <c r="G815" s="5" t="s">
        <v>1963</v>
      </c>
      <c r="H815" s="6" t="s">
        <v>81</v>
      </c>
      <c r="I815" s="12" t="s">
        <v>19</v>
      </c>
      <c r="J815" s="12" t="s">
        <v>3</v>
      </c>
      <c r="K815" s="67" t="s">
        <v>1969</v>
      </c>
      <c r="L815" s="3"/>
    </row>
    <row r="816" spans="2:12" ht="90" x14ac:dyDescent="0.25">
      <c r="B816" s="1">
        <v>831</v>
      </c>
      <c r="C816" s="3" t="s">
        <v>1910</v>
      </c>
      <c r="D816" s="3" t="s">
        <v>101</v>
      </c>
      <c r="E816" s="40" t="s">
        <v>2147</v>
      </c>
      <c r="F816" s="4">
        <v>26897.86</v>
      </c>
      <c r="G816" s="5" t="s">
        <v>1963</v>
      </c>
      <c r="H816" s="6" t="s">
        <v>81</v>
      </c>
      <c r="I816" s="12" t="s">
        <v>19</v>
      </c>
      <c r="J816" s="12" t="s">
        <v>284</v>
      </c>
      <c r="K816" s="67" t="s">
        <v>1970</v>
      </c>
      <c r="L816" s="3"/>
    </row>
    <row r="817" spans="2:12" ht="45" x14ac:dyDescent="0.25">
      <c r="B817" s="1">
        <v>832</v>
      </c>
      <c r="C817" s="3" t="s">
        <v>494</v>
      </c>
      <c r="D817" s="3" t="s">
        <v>1911</v>
      </c>
      <c r="E817" s="40">
        <v>31.5</v>
      </c>
      <c r="F817" s="4">
        <v>31.5</v>
      </c>
      <c r="G817" s="5" t="s">
        <v>1963</v>
      </c>
      <c r="H817" s="6" t="s">
        <v>81</v>
      </c>
      <c r="I817" s="12" t="s">
        <v>19</v>
      </c>
      <c r="J817" s="12" t="s">
        <v>11</v>
      </c>
      <c r="K817" s="67" t="s">
        <v>1971</v>
      </c>
      <c r="L817" s="3"/>
    </row>
    <row r="818" spans="2:12" ht="45" x14ac:dyDescent="0.25">
      <c r="B818" s="3">
        <v>833</v>
      </c>
      <c r="C818" s="3" t="s">
        <v>494</v>
      </c>
      <c r="D818" s="3" t="s">
        <v>1912</v>
      </c>
      <c r="E818" s="40">
        <v>37</v>
      </c>
      <c r="F818" s="4">
        <v>37</v>
      </c>
      <c r="G818" s="5" t="s">
        <v>1963</v>
      </c>
      <c r="H818" s="6" t="s">
        <v>81</v>
      </c>
      <c r="I818" s="12" t="s">
        <v>19</v>
      </c>
      <c r="J818" s="12" t="s">
        <v>11</v>
      </c>
      <c r="K818" s="67" t="s">
        <v>1972</v>
      </c>
      <c r="L818" s="3"/>
    </row>
    <row r="819" spans="2:12" ht="18.75" customHeight="1" x14ac:dyDescent="0.25">
      <c r="B819" s="3">
        <v>834</v>
      </c>
      <c r="C819" s="3" t="s">
        <v>255</v>
      </c>
      <c r="D819" s="3" t="s">
        <v>1913</v>
      </c>
      <c r="E819" s="40" t="s">
        <v>1771</v>
      </c>
      <c r="F819" s="4">
        <v>100</v>
      </c>
      <c r="G819" s="5" t="s">
        <v>1973</v>
      </c>
      <c r="H819" s="6" t="s">
        <v>81</v>
      </c>
      <c r="I819" s="12" t="s">
        <v>19</v>
      </c>
      <c r="J819" s="8" t="s">
        <v>21</v>
      </c>
      <c r="K819" s="67" t="s">
        <v>1974</v>
      </c>
      <c r="L819" s="3"/>
    </row>
    <row r="820" spans="2:12" ht="90" x14ac:dyDescent="0.25">
      <c r="B820" s="1">
        <v>835</v>
      </c>
      <c r="C820" s="3" t="s">
        <v>974</v>
      </c>
      <c r="D820" s="3" t="s">
        <v>1914</v>
      </c>
      <c r="E820" s="40" t="s">
        <v>2637</v>
      </c>
      <c r="F820" s="4">
        <v>23483.65</v>
      </c>
      <c r="G820" s="5" t="s">
        <v>1973</v>
      </c>
      <c r="H820" s="6" t="s">
        <v>81</v>
      </c>
      <c r="I820" s="12" t="s">
        <v>19</v>
      </c>
      <c r="J820" s="10" t="s">
        <v>1714</v>
      </c>
      <c r="K820" s="67" t="s">
        <v>1975</v>
      </c>
      <c r="L820" s="3"/>
    </row>
    <row r="821" spans="2:12" x14ac:dyDescent="0.25">
      <c r="B821" s="1">
        <v>836</v>
      </c>
      <c r="C821" s="3" t="s">
        <v>1517</v>
      </c>
      <c r="D821" s="3" t="s">
        <v>1915</v>
      </c>
      <c r="E821" s="77">
        <v>103636</v>
      </c>
      <c r="F821" s="4">
        <v>103636</v>
      </c>
      <c r="G821" s="5" t="s">
        <v>1976</v>
      </c>
      <c r="H821" s="6" t="s">
        <v>26</v>
      </c>
      <c r="I821" s="12" t="s">
        <v>9</v>
      </c>
      <c r="J821" s="12" t="s">
        <v>1977</v>
      </c>
      <c r="K821" s="67"/>
      <c r="L821" s="3"/>
    </row>
    <row r="822" spans="2:12" ht="45" x14ac:dyDescent="0.25">
      <c r="B822" s="3">
        <v>837</v>
      </c>
      <c r="C822" s="3" t="s">
        <v>169</v>
      </c>
      <c r="D822" s="3" t="s">
        <v>543</v>
      </c>
      <c r="E822" s="40" t="s">
        <v>1327</v>
      </c>
      <c r="F822" s="4">
        <v>600</v>
      </c>
      <c r="G822" s="5" t="s">
        <v>1978</v>
      </c>
      <c r="H822" s="6" t="s">
        <v>81</v>
      </c>
      <c r="I822" s="12" t="s">
        <v>19</v>
      </c>
      <c r="J822" s="8" t="s">
        <v>3</v>
      </c>
      <c r="K822" s="67" t="s">
        <v>1979</v>
      </c>
      <c r="L822" s="3"/>
    </row>
    <row r="823" spans="2:12" ht="45" x14ac:dyDescent="0.25">
      <c r="B823" s="3">
        <v>838</v>
      </c>
      <c r="C823" s="3" t="s">
        <v>1916</v>
      </c>
      <c r="D823" s="3" t="s">
        <v>89</v>
      </c>
      <c r="E823" s="40" t="s">
        <v>2029</v>
      </c>
      <c r="F823" s="4">
        <v>160</v>
      </c>
      <c r="G823" s="5" t="s">
        <v>1978</v>
      </c>
      <c r="H823" s="6" t="s">
        <v>81</v>
      </c>
      <c r="I823" s="12" t="s">
        <v>19</v>
      </c>
      <c r="J823" s="8" t="s">
        <v>3</v>
      </c>
      <c r="K823" s="67" t="s">
        <v>1980</v>
      </c>
      <c r="L823" s="3"/>
    </row>
    <row r="824" spans="2:12" ht="45" x14ac:dyDescent="0.25">
      <c r="B824" s="1">
        <v>839</v>
      </c>
      <c r="C824" s="3" t="s">
        <v>1917</v>
      </c>
      <c r="D824" s="3" t="s">
        <v>85</v>
      </c>
      <c r="E824" s="40">
        <v>80</v>
      </c>
      <c r="F824" s="4">
        <v>80</v>
      </c>
      <c r="G824" s="5" t="s">
        <v>1978</v>
      </c>
      <c r="H824" s="6" t="s">
        <v>81</v>
      </c>
      <c r="I824" s="12" t="s">
        <v>19</v>
      </c>
      <c r="J824" s="8" t="s">
        <v>3</v>
      </c>
      <c r="K824" s="67" t="s">
        <v>1981</v>
      </c>
      <c r="L824" s="3"/>
    </row>
    <row r="825" spans="2:12" ht="45" x14ac:dyDescent="0.25">
      <c r="B825" s="1">
        <v>840</v>
      </c>
      <c r="C825" s="3" t="s">
        <v>1917</v>
      </c>
      <c r="D825" s="3" t="s">
        <v>89</v>
      </c>
      <c r="E825" s="40" t="s">
        <v>2030</v>
      </c>
      <c r="F825" s="4">
        <v>480</v>
      </c>
      <c r="G825" s="5" t="s">
        <v>1978</v>
      </c>
      <c r="H825" s="6" t="s">
        <v>81</v>
      </c>
      <c r="I825" s="12" t="s">
        <v>19</v>
      </c>
      <c r="J825" s="8" t="s">
        <v>3</v>
      </c>
      <c r="K825" s="67" t="s">
        <v>1982</v>
      </c>
      <c r="L825" s="3"/>
    </row>
    <row r="826" spans="2:12" ht="45" x14ac:dyDescent="0.25">
      <c r="B826" s="3">
        <v>841</v>
      </c>
      <c r="C826" s="3" t="s">
        <v>589</v>
      </c>
      <c r="D826" s="3" t="s">
        <v>89</v>
      </c>
      <c r="E826" s="40">
        <v>135</v>
      </c>
      <c r="F826" s="4">
        <v>200</v>
      </c>
      <c r="G826" s="5" t="s">
        <v>1978</v>
      </c>
      <c r="H826" s="6" t="s">
        <v>81</v>
      </c>
      <c r="I826" s="12" t="s">
        <v>19</v>
      </c>
      <c r="J826" s="8" t="s">
        <v>3</v>
      </c>
      <c r="K826" s="67" t="s">
        <v>1983</v>
      </c>
      <c r="L826" s="3"/>
    </row>
    <row r="827" spans="2:12" ht="45" x14ac:dyDescent="0.25">
      <c r="B827" s="3">
        <v>842</v>
      </c>
      <c r="C827" s="3" t="s">
        <v>612</v>
      </c>
      <c r="D827" s="3" t="s">
        <v>89</v>
      </c>
      <c r="E827" s="40" t="s">
        <v>2128</v>
      </c>
      <c r="F827" s="4">
        <v>240</v>
      </c>
      <c r="G827" s="5" t="s">
        <v>1978</v>
      </c>
      <c r="H827" s="6" t="s">
        <v>81</v>
      </c>
      <c r="I827" s="12" t="s">
        <v>19</v>
      </c>
      <c r="J827" s="8" t="s">
        <v>3</v>
      </c>
      <c r="K827" s="67" t="s">
        <v>1984</v>
      </c>
      <c r="L827" s="3"/>
    </row>
    <row r="828" spans="2:12" ht="45" x14ac:dyDescent="0.25">
      <c r="B828" s="1">
        <v>843</v>
      </c>
      <c r="C828" s="3" t="s">
        <v>612</v>
      </c>
      <c r="D828" s="3" t="s">
        <v>85</v>
      </c>
      <c r="E828" s="40">
        <v>820</v>
      </c>
      <c r="F828" s="4">
        <v>820</v>
      </c>
      <c r="G828" s="5" t="s">
        <v>1978</v>
      </c>
      <c r="H828" s="6" t="s">
        <v>81</v>
      </c>
      <c r="I828" s="12" t="s">
        <v>19</v>
      </c>
      <c r="J828" s="8" t="s">
        <v>3</v>
      </c>
      <c r="K828" s="67" t="s">
        <v>1985</v>
      </c>
      <c r="L828" s="3"/>
    </row>
    <row r="829" spans="2:12" ht="45" x14ac:dyDescent="0.25">
      <c r="B829" s="1">
        <v>844</v>
      </c>
      <c r="C829" s="3" t="s">
        <v>133</v>
      </c>
      <c r="D829" s="3" t="s">
        <v>297</v>
      </c>
      <c r="E829" s="40">
        <v>330.4</v>
      </c>
      <c r="F829" s="4">
        <v>330.4</v>
      </c>
      <c r="G829" s="5" t="s">
        <v>1978</v>
      </c>
      <c r="H829" s="6" t="s">
        <v>81</v>
      </c>
      <c r="I829" s="12" t="s">
        <v>19</v>
      </c>
      <c r="J829" s="8" t="s">
        <v>3</v>
      </c>
      <c r="K829" s="67" t="s">
        <v>1986</v>
      </c>
      <c r="L829" s="3"/>
    </row>
    <row r="830" spans="2:12" ht="45" x14ac:dyDescent="0.25">
      <c r="B830" s="3">
        <v>845</v>
      </c>
      <c r="C830" s="3" t="s">
        <v>645</v>
      </c>
      <c r="D830" s="3" t="s">
        <v>89</v>
      </c>
      <c r="E830" s="40">
        <v>239.8</v>
      </c>
      <c r="F830" s="4">
        <v>240</v>
      </c>
      <c r="G830" s="5" t="s">
        <v>1978</v>
      </c>
      <c r="H830" s="6" t="s">
        <v>81</v>
      </c>
      <c r="I830" s="12" t="s">
        <v>19</v>
      </c>
      <c r="J830" s="8" t="s">
        <v>3</v>
      </c>
      <c r="K830" s="67" t="s">
        <v>1987</v>
      </c>
      <c r="L830" s="3"/>
    </row>
    <row r="831" spans="2:12" ht="45" x14ac:dyDescent="0.25">
      <c r="B831" s="3">
        <v>846</v>
      </c>
      <c r="C831" s="3" t="s">
        <v>986</v>
      </c>
      <c r="D831" s="3" t="s">
        <v>543</v>
      </c>
      <c r="E831" s="40" t="s">
        <v>2044</v>
      </c>
      <c r="F831" s="4">
        <v>1630</v>
      </c>
      <c r="G831" s="5" t="s">
        <v>1978</v>
      </c>
      <c r="H831" s="6" t="s">
        <v>81</v>
      </c>
      <c r="I831" s="12" t="s">
        <v>19</v>
      </c>
      <c r="J831" s="8" t="s">
        <v>3</v>
      </c>
      <c r="K831" s="67" t="s">
        <v>1988</v>
      </c>
      <c r="L831" s="3"/>
    </row>
    <row r="832" spans="2:12" ht="45" x14ac:dyDescent="0.25">
      <c r="B832" s="1">
        <v>847</v>
      </c>
      <c r="C832" s="3" t="s">
        <v>1901</v>
      </c>
      <c r="D832" s="3" t="s">
        <v>89</v>
      </c>
      <c r="E832" s="40">
        <v>132</v>
      </c>
      <c r="F832" s="4">
        <v>200</v>
      </c>
      <c r="G832" s="5" t="s">
        <v>1978</v>
      </c>
      <c r="H832" s="6" t="s">
        <v>81</v>
      </c>
      <c r="I832" s="12" t="s">
        <v>19</v>
      </c>
      <c r="J832" s="8" t="s">
        <v>3</v>
      </c>
      <c r="K832" s="67" t="s">
        <v>1989</v>
      </c>
      <c r="L832" s="3"/>
    </row>
    <row r="833" spans="2:12" ht="45" x14ac:dyDescent="0.25">
      <c r="B833" s="1">
        <v>848</v>
      </c>
      <c r="C833" s="3" t="s">
        <v>1918</v>
      </c>
      <c r="D833" s="3" t="s">
        <v>83</v>
      </c>
      <c r="E833" s="40" t="s">
        <v>2043</v>
      </c>
      <c r="F833" s="4">
        <v>2155</v>
      </c>
      <c r="G833" s="5" t="s">
        <v>1978</v>
      </c>
      <c r="H833" s="6" t="s">
        <v>81</v>
      </c>
      <c r="I833" s="12" t="s">
        <v>19</v>
      </c>
      <c r="J833" s="8" t="s">
        <v>3</v>
      </c>
      <c r="K833" s="67" t="s">
        <v>1990</v>
      </c>
      <c r="L833" s="3"/>
    </row>
    <row r="834" spans="2:12" ht="45" x14ac:dyDescent="0.25">
      <c r="B834" s="3">
        <v>849</v>
      </c>
      <c r="C834" s="3" t="s">
        <v>1480</v>
      </c>
      <c r="D834" s="3" t="s">
        <v>83</v>
      </c>
      <c r="E834" s="40" t="s">
        <v>2042</v>
      </c>
      <c r="F834" s="4">
        <v>2805</v>
      </c>
      <c r="G834" s="5" t="s">
        <v>1978</v>
      </c>
      <c r="H834" s="6" t="s">
        <v>81</v>
      </c>
      <c r="I834" s="12" t="s">
        <v>19</v>
      </c>
      <c r="J834" s="8" t="s">
        <v>3</v>
      </c>
      <c r="K834" s="67" t="s">
        <v>1991</v>
      </c>
      <c r="L834" s="3"/>
    </row>
    <row r="835" spans="2:12" ht="45" x14ac:dyDescent="0.25">
      <c r="B835" s="3">
        <v>850</v>
      </c>
      <c r="C835" s="3" t="s">
        <v>1919</v>
      </c>
      <c r="D835" s="3" t="s">
        <v>89</v>
      </c>
      <c r="E835" s="40">
        <v>400</v>
      </c>
      <c r="F835" s="4">
        <v>400</v>
      </c>
      <c r="G835" s="5" t="s">
        <v>1978</v>
      </c>
      <c r="H835" s="6" t="s">
        <v>81</v>
      </c>
      <c r="I835" s="12" t="s">
        <v>19</v>
      </c>
      <c r="J835" s="8" t="s">
        <v>3</v>
      </c>
      <c r="K835" s="67" t="s">
        <v>1992</v>
      </c>
      <c r="L835" s="3"/>
    </row>
    <row r="836" spans="2:12" ht="45" x14ac:dyDescent="0.25">
      <c r="B836" s="1">
        <v>851</v>
      </c>
      <c r="C836" s="3" t="s">
        <v>1506</v>
      </c>
      <c r="D836" s="3" t="s">
        <v>85</v>
      </c>
      <c r="E836" s="40" t="s">
        <v>2074</v>
      </c>
      <c r="F836" s="26" t="s">
        <v>2074</v>
      </c>
      <c r="G836" s="5" t="s">
        <v>1978</v>
      </c>
      <c r="H836" s="6" t="s">
        <v>81</v>
      </c>
      <c r="I836" s="12" t="s">
        <v>19</v>
      </c>
      <c r="J836" s="8" t="s">
        <v>3</v>
      </c>
      <c r="K836" s="67" t="s">
        <v>1993</v>
      </c>
      <c r="L836" s="3"/>
    </row>
    <row r="837" spans="2:12" ht="45" x14ac:dyDescent="0.25">
      <c r="B837" s="1">
        <v>852</v>
      </c>
      <c r="C837" s="3" t="s">
        <v>588</v>
      </c>
      <c r="D837" s="3" t="s">
        <v>89</v>
      </c>
      <c r="E837" s="40">
        <v>479.6</v>
      </c>
      <c r="F837" s="4">
        <v>480</v>
      </c>
      <c r="G837" s="5" t="s">
        <v>1978</v>
      </c>
      <c r="H837" s="6" t="s">
        <v>81</v>
      </c>
      <c r="I837" s="12" t="s">
        <v>19</v>
      </c>
      <c r="J837" s="8" t="s">
        <v>3</v>
      </c>
      <c r="K837" s="67" t="s">
        <v>1994</v>
      </c>
      <c r="L837" s="3"/>
    </row>
    <row r="838" spans="2:12" ht="45" x14ac:dyDescent="0.25">
      <c r="B838" s="3">
        <v>853</v>
      </c>
      <c r="C838" s="3" t="s">
        <v>1202</v>
      </c>
      <c r="D838" s="3" t="s">
        <v>543</v>
      </c>
      <c r="E838" s="40" t="s">
        <v>2129</v>
      </c>
      <c r="F838" s="4">
        <v>2580</v>
      </c>
      <c r="G838" s="5" t="s">
        <v>1978</v>
      </c>
      <c r="H838" s="6" t="s">
        <v>81</v>
      </c>
      <c r="I838" s="12" t="s">
        <v>19</v>
      </c>
      <c r="J838" s="8" t="s">
        <v>3</v>
      </c>
      <c r="K838" s="67" t="s">
        <v>1995</v>
      </c>
      <c r="L838" s="3"/>
    </row>
    <row r="839" spans="2:12" ht="45" x14ac:dyDescent="0.25">
      <c r="B839" s="3">
        <v>854</v>
      </c>
      <c r="C839" s="3" t="s">
        <v>1523</v>
      </c>
      <c r="D839" s="3" t="s">
        <v>85</v>
      </c>
      <c r="E839" s="40" t="s">
        <v>2068</v>
      </c>
      <c r="F839" s="4">
        <v>1700</v>
      </c>
      <c r="G839" s="5" t="s">
        <v>1978</v>
      </c>
      <c r="H839" s="6" t="s">
        <v>81</v>
      </c>
      <c r="I839" s="12" t="s">
        <v>19</v>
      </c>
      <c r="J839" s="8" t="s">
        <v>3</v>
      </c>
      <c r="K839" s="67" t="s">
        <v>1996</v>
      </c>
      <c r="L839" s="3"/>
    </row>
    <row r="840" spans="2:12" ht="45" x14ac:dyDescent="0.25">
      <c r="B840" s="1">
        <v>855</v>
      </c>
      <c r="C840" s="3" t="s">
        <v>641</v>
      </c>
      <c r="D840" s="3" t="s">
        <v>83</v>
      </c>
      <c r="E840" s="40" t="s">
        <v>2076</v>
      </c>
      <c r="F840" s="4">
        <v>3375</v>
      </c>
      <c r="G840" s="5" t="s">
        <v>1978</v>
      </c>
      <c r="H840" s="6" t="s">
        <v>81</v>
      </c>
      <c r="I840" s="12" t="s">
        <v>19</v>
      </c>
      <c r="J840" s="8" t="s">
        <v>3</v>
      </c>
      <c r="K840" s="67" t="s">
        <v>1997</v>
      </c>
      <c r="L840" s="3"/>
    </row>
    <row r="841" spans="2:12" ht="45" x14ac:dyDescent="0.25">
      <c r="B841" s="1">
        <v>856</v>
      </c>
      <c r="C841" s="3" t="s">
        <v>542</v>
      </c>
      <c r="D841" s="3" t="s">
        <v>543</v>
      </c>
      <c r="E841" s="40" t="s">
        <v>2075</v>
      </c>
      <c r="F841" s="4">
        <v>10350</v>
      </c>
      <c r="G841" s="5" t="s">
        <v>1978</v>
      </c>
      <c r="H841" s="6" t="s">
        <v>81</v>
      </c>
      <c r="I841" s="12" t="s">
        <v>19</v>
      </c>
      <c r="J841" s="8" t="s">
        <v>3</v>
      </c>
      <c r="K841" s="67" t="s">
        <v>1998</v>
      </c>
      <c r="L841" s="3"/>
    </row>
    <row r="842" spans="2:12" ht="45" x14ac:dyDescent="0.25">
      <c r="B842" s="3">
        <v>857</v>
      </c>
      <c r="C842" s="3" t="s">
        <v>588</v>
      </c>
      <c r="D842" s="3" t="s">
        <v>85</v>
      </c>
      <c r="E842" s="40" t="s">
        <v>2069</v>
      </c>
      <c r="F842" s="4">
        <v>1173</v>
      </c>
      <c r="G842" s="5" t="s">
        <v>1978</v>
      </c>
      <c r="H842" s="6" t="s">
        <v>81</v>
      </c>
      <c r="I842" s="12" t="s">
        <v>19</v>
      </c>
      <c r="J842" s="8" t="s">
        <v>3</v>
      </c>
      <c r="K842" s="67" t="s">
        <v>1999</v>
      </c>
      <c r="L842" s="3"/>
    </row>
    <row r="843" spans="2:12" ht="45" x14ac:dyDescent="0.25">
      <c r="B843" s="3">
        <v>858</v>
      </c>
      <c r="C843" s="3" t="s">
        <v>103</v>
      </c>
      <c r="D843" s="3" t="s">
        <v>104</v>
      </c>
      <c r="E843" s="40" t="s">
        <v>2038</v>
      </c>
      <c r="F843" s="4">
        <v>3100</v>
      </c>
      <c r="G843" s="5" t="s">
        <v>1978</v>
      </c>
      <c r="H843" s="6" t="s">
        <v>81</v>
      </c>
      <c r="I843" s="12" t="s">
        <v>19</v>
      </c>
      <c r="J843" s="8" t="s">
        <v>3</v>
      </c>
      <c r="K843" s="67" t="s">
        <v>2000</v>
      </c>
      <c r="L843" s="3"/>
    </row>
    <row r="844" spans="2:12" s="3" customFormat="1" ht="45" x14ac:dyDescent="0.25">
      <c r="B844" s="1">
        <v>859</v>
      </c>
      <c r="C844" s="3" t="s">
        <v>103</v>
      </c>
      <c r="D844" s="3" t="s">
        <v>104</v>
      </c>
      <c r="E844" s="40" t="s">
        <v>2037</v>
      </c>
      <c r="F844" s="4">
        <v>9300</v>
      </c>
      <c r="G844" s="5" t="s">
        <v>1978</v>
      </c>
      <c r="H844" s="6" t="s">
        <v>81</v>
      </c>
      <c r="I844" s="12" t="s">
        <v>19</v>
      </c>
      <c r="J844" s="8" t="s">
        <v>3</v>
      </c>
      <c r="K844" s="67" t="s">
        <v>2001</v>
      </c>
    </row>
    <row r="845" spans="2:12" ht="45" x14ac:dyDescent="0.25">
      <c r="B845" s="1">
        <v>860</v>
      </c>
      <c r="C845" s="3" t="s">
        <v>623</v>
      </c>
      <c r="D845" s="3" t="s">
        <v>104</v>
      </c>
      <c r="E845" s="40" t="s">
        <v>2041</v>
      </c>
      <c r="F845" s="4">
        <v>2512</v>
      </c>
      <c r="G845" s="5" t="s">
        <v>1978</v>
      </c>
      <c r="H845" s="6" t="s">
        <v>81</v>
      </c>
      <c r="I845" s="12" t="s">
        <v>19</v>
      </c>
      <c r="J845" s="8" t="s">
        <v>3</v>
      </c>
      <c r="K845" s="67" t="s">
        <v>2002</v>
      </c>
      <c r="L845" s="3"/>
    </row>
    <row r="846" spans="2:12" ht="45" x14ac:dyDescent="0.25">
      <c r="B846" s="3">
        <v>861</v>
      </c>
      <c r="C846" s="3" t="s">
        <v>103</v>
      </c>
      <c r="D846" s="3" t="s">
        <v>104</v>
      </c>
      <c r="E846" s="40" t="s">
        <v>2039</v>
      </c>
      <c r="F846" s="4">
        <v>13400</v>
      </c>
      <c r="G846" s="5" t="s">
        <v>1978</v>
      </c>
      <c r="H846" s="6" t="s">
        <v>81</v>
      </c>
      <c r="I846" s="12" t="s">
        <v>19</v>
      </c>
      <c r="J846" s="8" t="s">
        <v>3</v>
      </c>
      <c r="K846" s="67" t="s">
        <v>2003</v>
      </c>
      <c r="L846" s="3"/>
    </row>
    <row r="847" spans="2:12" ht="45" x14ac:dyDescent="0.25">
      <c r="B847" s="3">
        <v>862</v>
      </c>
      <c r="C847" s="3" t="s">
        <v>103</v>
      </c>
      <c r="D847" s="3" t="s">
        <v>104</v>
      </c>
      <c r="E847" s="40" t="s">
        <v>2040</v>
      </c>
      <c r="F847" s="4">
        <v>8260</v>
      </c>
      <c r="G847" s="5" t="s">
        <v>1978</v>
      </c>
      <c r="H847" s="6" t="s">
        <v>81</v>
      </c>
      <c r="I847" s="12" t="s">
        <v>19</v>
      </c>
      <c r="J847" s="8" t="s">
        <v>3</v>
      </c>
      <c r="K847" s="67" t="s">
        <v>2004</v>
      </c>
      <c r="L847" s="3"/>
    </row>
    <row r="848" spans="2:12" ht="45" x14ac:dyDescent="0.25">
      <c r="B848" s="1">
        <v>863</v>
      </c>
      <c r="C848" s="3" t="s">
        <v>1920</v>
      </c>
      <c r="D848" s="3" t="s">
        <v>89</v>
      </c>
      <c r="E848" s="40">
        <v>86.57</v>
      </c>
      <c r="F848" s="4">
        <v>100</v>
      </c>
      <c r="G848" s="5" t="s">
        <v>2005</v>
      </c>
      <c r="H848" s="6" t="s">
        <v>81</v>
      </c>
      <c r="I848" s="12" t="s">
        <v>19</v>
      </c>
      <c r="J848" s="8" t="s">
        <v>3</v>
      </c>
      <c r="K848" s="67" t="s">
        <v>2006</v>
      </c>
      <c r="L848" s="3"/>
    </row>
    <row r="849" spans="2:12" ht="45" x14ac:dyDescent="0.25">
      <c r="B849" s="1">
        <v>864</v>
      </c>
      <c r="C849" s="3" t="s">
        <v>1921</v>
      </c>
      <c r="D849" s="3" t="s">
        <v>89</v>
      </c>
      <c r="E849" s="40">
        <v>100</v>
      </c>
      <c r="F849" s="4">
        <v>100</v>
      </c>
      <c r="G849" s="5" t="s">
        <v>2005</v>
      </c>
      <c r="H849" s="6" t="s">
        <v>81</v>
      </c>
      <c r="I849" s="12" t="s">
        <v>19</v>
      </c>
      <c r="J849" s="8" t="s">
        <v>3</v>
      </c>
      <c r="K849" s="67" t="s">
        <v>2007</v>
      </c>
      <c r="L849" s="3"/>
    </row>
    <row r="850" spans="2:12" ht="45" x14ac:dyDescent="0.25">
      <c r="B850" s="3">
        <v>865</v>
      </c>
      <c r="C850" s="3" t="s">
        <v>275</v>
      </c>
      <c r="D850" s="3" t="s">
        <v>543</v>
      </c>
      <c r="E850" s="40" t="s">
        <v>2048</v>
      </c>
      <c r="F850" s="4">
        <v>1330</v>
      </c>
      <c r="G850" s="5" t="s">
        <v>2005</v>
      </c>
      <c r="H850" s="6" t="s">
        <v>81</v>
      </c>
      <c r="I850" s="12" t="s">
        <v>19</v>
      </c>
      <c r="J850" s="8" t="s">
        <v>3</v>
      </c>
      <c r="K850" s="67" t="s">
        <v>2045</v>
      </c>
      <c r="L850" s="3"/>
    </row>
    <row r="851" spans="2:12" ht="45" x14ac:dyDescent="0.25">
      <c r="B851" s="3">
        <v>866</v>
      </c>
      <c r="C851" s="3" t="s">
        <v>275</v>
      </c>
      <c r="D851" s="3" t="s">
        <v>83</v>
      </c>
      <c r="E851" s="40" t="s">
        <v>2048</v>
      </c>
      <c r="F851" s="4">
        <v>1330</v>
      </c>
      <c r="G851" s="5" t="s">
        <v>2005</v>
      </c>
      <c r="H851" s="6" t="s">
        <v>81</v>
      </c>
      <c r="I851" s="12" t="s">
        <v>19</v>
      </c>
      <c r="J851" s="8" t="s">
        <v>3</v>
      </c>
      <c r="K851" s="67" t="s">
        <v>2046</v>
      </c>
      <c r="L851" s="3"/>
    </row>
    <row r="852" spans="2:12" ht="45" x14ac:dyDescent="0.25">
      <c r="B852" s="1">
        <v>867</v>
      </c>
      <c r="C852" s="3" t="s">
        <v>798</v>
      </c>
      <c r="D852" s="3" t="s">
        <v>89</v>
      </c>
      <c r="E852" s="40">
        <v>45.65</v>
      </c>
      <c r="F852" s="4">
        <v>100</v>
      </c>
      <c r="G852" s="5" t="s">
        <v>2005</v>
      </c>
      <c r="H852" s="6" t="s">
        <v>81</v>
      </c>
      <c r="I852" s="12" t="s">
        <v>19</v>
      </c>
      <c r="J852" s="8" t="s">
        <v>3</v>
      </c>
      <c r="K852" s="67" t="s">
        <v>2047</v>
      </c>
      <c r="L852" s="3"/>
    </row>
    <row r="853" spans="2:12" ht="45" x14ac:dyDescent="0.25">
      <c r="B853" s="1">
        <v>868</v>
      </c>
      <c r="C853" s="3" t="s">
        <v>645</v>
      </c>
      <c r="D853" s="3" t="s">
        <v>89</v>
      </c>
      <c r="E853" s="40" t="s">
        <v>2031</v>
      </c>
      <c r="F853" s="4">
        <v>120</v>
      </c>
      <c r="G853" s="5" t="s">
        <v>2005</v>
      </c>
      <c r="H853" s="6" t="s">
        <v>81</v>
      </c>
      <c r="I853" s="12" t="s">
        <v>19</v>
      </c>
      <c r="J853" s="8" t="s">
        <v>3</v>
      </c>
      <c r="K853" s="67" t="s">
        <v>2008</v>
      </c>
      <c r="L853" s="3"/>
    </row>
    <row r="854" spans="2:12" ht="45" x14ac:dyDescent="0.25">
      <c r="B854" s="3">
        <v>869</v>
      </c>
      <c r="C854" s="3" t="s">
        <v>612</v>
      </c>
      <c r="D854" s="3" t="s">
        <v>85</v>
      </c>
      <c r="E854" s="40">
        <v>410</v>
      </c>
      <c r="F854" s="4">
        <v>410</v>
      </c>
      <c r="G854" s="5" t="s">
        <v>2005</v>
      </c>
      <c r="H854" s="6" t="s">
        <v>81</v>
      </c>
      <c r="I854" s="12" t="s">
        <v>19</v>
      </c>
      <c r="J854" s="8" t="s">
        <v>3</v>
      </c>
      <c r="K854" s="67" t="s">
        <v>2125</v>
      </c>
      <c r="L854" s="3"/>
    </row>
    <row r="855" spans="2:12" ht="45" x14ac:dyDescent="0.25">
      <c r="B855" s="3">
        <v>870</v>
      </c>
      <c r="C855" s="3" t="s">
        <v>612</v>
      </c>
      <c r="D855" s="3" t="s">
        <v>89</v>
      </c>
      <c r="E855" s="40">
        <v>119.9</v>
      </c>
      <c r="F855" s="4">
        <v>120</v>
      </c>
      <c r="G855" s="5" t="s">
        <v>2005</v>
      </c>
      <c r="H855" s="6" t="s">
        <v>81</v>
      </c>
      <c r="I855" s="12" t="s">
        <v>19</v>
      </c>
      <c r="J855" s="8" t="s">
        <v>3</v>
      </c>
      <c r="K855" s="67" t="s">
        <v>2126</v>
      </c>
      <c r="L855" s="3"/>
    </row>
    <row r="856" spans="2:12" ht="45" x14ac:dyDescent="0.25">
      <c r="B856" s="3">
        <v>871</v>
      </c>
      <c r="C856" s="3" t="s">
        <v>2105</v>
      </c>
      <c r="D856" s="3" t="s">
        <v>89</v>
      </c>
      <c r="E856" s="40">
        <v>480</v>
      </c>
      <c r="F856" s="4">
        <v>100</v>
      </c>
      <c r="G856" s="5" t="s">
        <v>2005</v>
      </c>
      <c r="H856" s="6" t="s">
        <v>81</v>
      </c>
      <c r="I856" s="12" t="s">
        <v>19</v>
      </c>
      <c r="J856" s="8" t="s">
        <v>3</v>
      </c>
      <c r="K856" s="67" t="s">
        <v>2127</v>
      </c>
      <c r="L856" s="3"/>
    </row>
    <row r="857" spans="2:12" ht="45" x14ac:dyDescent="0.25">
      <c r="B857" s="1">
        <v>872</v>
      </c>
      <c r="C857" s="3" t="s">
        <v>787</v>
      </c>
      <c r="D857" s="3" t="s">
        <v>89</v>
      </c>
      <c r="E857" s="40">
        <v>100</v>
      </c>
      <c r="F857" s="4">
        <v>100</v>
      </c>
      <c r="G857" s="5" t="s">
        <v>2005</v>
      </c>
      <c r="H857" s="6" t="s">
        <v>81</v>
      </c>
      <c r="I857" s="12" t="s">
        <v>19</v>
      </c>
      <c r="J857" s="8" t="s">
        <v>3</v>
      </c>
      <c r="K857" s="67" t="s">
        <v>2009</v>
      </c>
      <c r="L857" s="3"/>
    </row>
    <row r="858" spans="2:12" ht="45" x14ac:dyDescent="0.25">
      <c r="B858" s="3">
        <v>873</v>
      </c>
      <c r="C858" s="3" t="s">
        <v>1901</v>
      </c>
      <c r="D858" s="3" t="s">
        <v>89</v>
      </c>
      <c r="E858" s="40">
        <v>94.6</v>
      </c>
      <c r="F858" s="4">
        <v>100</v>
      </c>
      <c r="G858" s="5" t="s">
        <v>2005</v>
      </c>
      <c r="H858" s="6" t="s">
        <v>81</v>
      </c>
      <c r="I858" s="12" t="s">
        <v>19</v>
      </c>
      <c r="J858" s="8" t="s">
        <v>3</v>
      </c>
      <c r="K858" s="67" t="s">
        <v>2010</v>
      </c>
      <c r="L858" s="3"/>
    </row>
    <row r="859" spans="2:12" ht="45" x14ac:dyDescent="0.25">
      <c r="B859" s="3">
        <v>874</v>
      </c>
      <c r="C859" s="3" t="s">
        <v>1922</v>
      </c>
      <c r="D859" s="3" t="s">
        <v>1923</v>
      </c>
      <c r="E859" s="40" t="s">
        <v>2131</v>
      </c>
      <c r="F859" s="4">
        <v>3072.72</v>
      </c>
      <c r="G859" s="5" t="s">
        <v>2011</v>
      </c>
      <c r="H859" s="6" t="s">
        <v>81</v>
      </c>
      <c r="I859" s="12" t="s">
        <v>19</v>
      </c>
      <c r="J859" s="8" t="s">
        <v>3</v>
      </c>
      <c r="K859" s="67" t="s">
        <v>2130</v>
      </c>
      <c r="L859" s="3"/>
    </row>
    <row r="860" spans="2:12" ht="101.25" x14ac:dyDescent="0.25">
      <c r="B860" s="1">
        <v>875</v>
      </c>
      <c r="C860" s="3" t="s">
        <v>1924</v>
      </c>
      <c r="D860" s="3" t="s">
        <v>1925</v>
      </c>
      <c r="E860" s="40" t="s">
        <v>2146</v>
      </c>
      <c r="F860" s="4">
        <v>2750</v>
      </c>
      <c r="G860" s="5" t="s">
        <v>2011</v>
      </c>
      <c r="H860" s="6" t="s">
        <v>81</v>
      </c>
      <c r="I860" s="12" t="s">
        <v>19</v>
      </c>
      <c r="J860" s="10" t="s">
        <v>566</v>
      </c>
      <c r="K860" s="67" t="s">
        <v>2012</v>
      </c>
      <c r="L860" s="3"/>
    </row>
    <row r="861" spans="2:12" ht="45" x14ac:dyDescent="0.25">
      <c r="B861" s="1">
        <v>876</v>
      </c>
      <c r="C861" s="3" t="s">
        <v>497</v>
      </c>
      <c r="D861" s="3" t="s">
        <v>89</v>
      </c>
      <c r="E861" s="40">
        <v>60</v>
      </c>
      <c r="F861" s="4">
        <v>60</v>
      </c>
      <c r="G861" s="5" t="s">
        <v>2011</v>
      </c>
      <c r="H861" s="6" t="s">
        <v>81</v>
      </c>
      <c r="I861" s="12" t="s">
        <v>19</v>
      </c>
      <c r="J861" s="8" t="s">
        <v>3</v>
      </c>
      <c r="K861" s="67" t="s">
        <v>2050</v>
      </c>
      <c r="L861" s="3"/>
    </row>
    <row r="862" spans="2:12" ht="45" x14ac:dyDescent="0.25">
      <c r="B862" s="3">
        <v>877</v>
      </c>
      <c r="C862" s="3" t="s">
        <v>1467</v>
      </c>
      <c r="D862" s="3" t="s">
        <v>85</v>
      </c>
      <c r="E862" s="40" t="s">
        <v>2073</v>
      </c>
      <c r="F862" s="4">
        <v>1200</v>
      </c>
      <c r="G862" s="5" t="s">
        <v>2011</v>
      </c>
      <c r="H862" s="6" t="s">
        <v>81</v>
      </c>
      <c r="I862" s="12" t="s">
        <v>19</v>
      </c>
      <c r="J862" s="8" t="s">
        <v>3</v>
      </c>
      <c r="K862" s="67" t="s">
        <v>2051</v>
      </c>
      <c r="L862" s="3"/>
    </row>
    <row r="863" spans="2:12" ht="45" x14ac:dyDescent="0.25">
      <c r="B863" s="3">
        <v>878</v>
      </c>
      <c r="C863" s="3" t="s">
        <v>645</v>
      </c>
      <c r="D863" s="3" t="s">
        <v>89</v>
      </c>
      <c r="E863" s="40">
        <v>59.4</v>
      </c>
      <c r="F863" s="4">
        <v>60</v>
      </c>
      <c r="G863" s="5" t="s">
        <v>2011</v>
      </c>
      <c r="H863" s="6" t="s">
        <v>81</v>
      </c>
      <c r="I863" s="12" t="s">
        <v>19</v>
      </c>
      <c r="J863" s="8" t="s">
        <v>3</v>
      </c>
      <c r="K863" s="67" t="s">
        <v>2052</v>
      </c>
      <c r="L863" s="3"/>
    </row>
    <row r="864" spans="2:12" ht="45" x14ac:dyDescent="0.25">
      <c r="B864" s="1">
        <v>879</v>
      </c>
      <c r="C864" s="3" t="s">
        <v>444</v>
      </c>
      <c r="D864" s="3" t="s">
        <v>543</v>
      </c>
      <c r="E864" s="40" t="s">
        <v>2065</v>
      </c>
      <c r="F864" s="4">
        <v>4150</v>
      </c>
      <c r="G864" s="5" t="s">
        <v>2011</v>
      </c>
      <c r="H864" s="6" t="s">
        <v>81</v>
      </c>
      <c r="I864" s="12" t="s">
        <v>19</v>
      </c>
      <c r="J864" s="8" t="s">
        <v>3</v>
      </c>
      <c r="K864" s="67" t="s">
        <v>2053</v>
      </c>
      <c r="L864" s="3"/>
    </row>
    <row r="865" spans="2:12" ht="45" x14ac:dyDescent="0.25">
      <c r="B865" s="1">
        <v>880</v>
      </c>
      <c r="C865" s="3" t="s">
        <v>444</v>
      </c>
      <c r="D865" s="3" t="s">
        <v>83</v>
      </c>
      <c r="E865" s="40" t="s">
        <v>508</v>
      </c>
      <c r="F865" s="4">
        <v>2050</v>
      </c>
      <c r="G865" s="5" t="s">
        <v>2011</v>
      </c>
      <c r="H865" s="6" t="s">
        <v>81</v>
      </c>
      <c r="I865" s="12" t="s">
        <v>19</v>
      </c>
      <c r="J865" s="8" t="s">
        <v>3</v>
      </c>
      <c r="K865" s="67" t="s">
        <v>2054</v>
      </c>
      <c r="L865" s="3"/>
    </row>
    <row r="866" spans="2:12" ht="45" x14ac:dyDescent="0.25">
      <c r="B866" s="3">
        <v>881</v>
      </c>
      <c r="C866" s="3" t="s">
        <v>1467</v>
      </c>
      <c r="D866" s="3" t="s">
        <v>85</v>
      </c>
      <c r="E866" s="40" t="s">
        <v>2071</v>
      </c>
      <c r="F866" s="4">
        <v>4580</v>
      </c>
      <c r="G866" s="5" t="s">
        <v>2013</v>
      </c>
      <c r="H866" s="6" t="s">
        <v>81</v>
      </c>
      <c r="I866" s="12" t="s">
        <v>19</v>
      </c>
      <c r="J866" s="8" t="s">
        <v>3</v>
      </c>
      <c r="K866" s="67" t="s">
        <v>2055</v>
      </c>
      <c r="L866" s="3"/>
    </row>
    <row r="867" spans="2:12" ht="45" x14ac:dyDescent="0.25">
      <c r="B867" s="3">
        <v>882</v>
      </c>
      <c r="C867" s="3" t="s">
        <v>1926</v>
      </c>
      <c r="D867" s="3" t="s">
        <v>85</v>
      </c>
      <c r="E867" s="40" t="s">
        <v>2072</v>
      </c>
      <c r="F867" s="4">
        <v>1840</v>
      </c>
      <c r="G867" s="5" t="s">
        <v>2013</v>
      </c>
      <c r="H867" s="6" t="s">
        <v>81</v>
      </c>
      <c r="I867" s="12" t="s">
        <v>19</v>
      </c>
      <c r="J867" s="8" t="s">
        <v>3</v>
      </c>
      <c r="K867" s="67" t="s">
        <v>2056</v>
      </c>
      <c r="L867" s="3"/>
    </row>
    <row r="868" spans="2:12" ht="45" x14ac:dyDescent="0.25">
      <c r="B868" s="1">
        <v>883</v>
      </c>
      <c r="C868" s="3" t="s">
        <v>968</v>
      </c>
      <c r="D868" s="3" t="s">
        <v>297</v>
      </c>
      <c r="E868" s="40">
        <v>300.89999999999998</v>
      </c>
      <c r="F868" s="4">
        <v>300.89999999999998</v>
      </c>
      <c r="G868" s="5" t="s">
        <v>2013</v>
      </c>
      <c r="H868" s="6" t="s">
        <v>81</v>
      </c>
      <c r="I868" s="12" t="s">
        <v>19</v>
      </c>
      <c r="J868" s="8" t="s">
        <v>3</v>
      </c>
      <c r="K868" s="67" t="s">
        <v>2057</v>
      </c>
      <c r="L868" s="3"/>
    </row>
    <row r="869" spans="2:12" ht="45.75" x14ac:dyDescent="0.25">
      <c r="B869" s="1">
        <v>884</v>
      </c>
      <c r="C869" s="3" t="s">
        <v>1927</v>
      </c>
      <c r="D869" s="3" t="s">
        <v>1928</v>
      </c>
      <c r="E869" s="40" t="s">
        <v>2252</v>
      </c>
      <c r="F869" s="4">
        <v>1199.8800000000001</v>
      </c>
      <c r="G869" s="5" t="s">
        <v>2013</v>
      </c>
      <c r="H869" s="6" t="s">
        <v>81</v>
      </c>
      <c r="I869" s="12" t="s">
        <v>19</v>
      </c>
      <c r="J869" s="8" t="s">
        <v>7</v>
      </c>
      <c r="K869" s="67" t="s">
        <v>2251</v>
      </c>
      <c r="L869" s="3"/>
    </row>
    <row r="870" spans="2:12" ht="90" x14ac:dyDescent="0.25">
      <c r="B870" s="3">
        <v>886</v>
      </c>
      <c r="C870" s="3" t="s">
        <v>1930</v>
      </c>
      <c r="D870" s="3" t="s">
        <v>1931</v>
      </c>
      <c r="E870" s="40" t="s">
        <v>2150</v>
      </c>
      <c r="F870" s="4">
        <v>94800</v>
      </c>
      <c r="G870" s="5" t="s">
        <v>2014</v>
      </c>
      <c r="H870" s="6" t="s">
        <v>81</v>
      </c>
      <c r="I870" s="12" t="s">
        <v>19</v>
      </c>
      <c r="J870" s="10" t="s">
        <v>866</v>
      </c>
      <c r="K870" s="67" t="s">
        <v>2062</v>
      </c>
      <c r="L870" s="3"/>
    </row>
    <row r="871" spans="2:12" ht="45" x14ac:dyDescent="0.25">
      <c r="B871" s="1">
        <v>887</v>
      </c>
      <c r="C871" s="3" t="s">
        <v>1202</v>
      </c>
      <c r="D871" s="3" t="s">
        <v>543</v>
      </c>
      <c r="E871" s="40" t="s">
        <v>2064</v>
      </c>
      <c r="F871" s="4">
        <v>1100</v>
      </c>
      <c r="G871" s="5" t="s">
        <v>2014</v>
      </c>
      <c r="H871" s="6" t="s">
        <v>81</v>
      </c>
      <c r="I871" s="12" t="s">
        <v>19</v>
      </c>
      <c r="J871" s="8" t="s">
        <v>3</v>
      </c>
      <c r="K871" s="67" t="s">
        <v>2063</v>
      </c>
      <c r="L871" s="3"/>
    </row>
    <row r="872" spans="2:12" ht="45" x14ac:dyDescent="0.25">
      <c r="B872" s="1">
        <v>888</v>
      </c>
      <c r="C872" s="3" t="s">
        <v>1932</v>
      </c>
      <c r="D872" s="3" t="s">
        <v>83</v>
      </c>
      <c r="E872" s="40">
        <v>412.5</v>
      </c>
      <c r="F872" s="4">
        <v>412.5</v>
      </c>
      <c r="G872" s="5" t="s">
        <v>2014</v>
      </c>
      <c r="H872" s="6" t="s">
        <v>81</v>
      </c>
      <c r="I872" s="12" t="s">
        <v>19</v>
      </c>
      <c r="J872" s="8" t="s">
        <v>3</v>
      </c>
      <c r="K872" s="67" t="s">
        <v>2058</v>
      </c>
      <c r="L872" s="3"/>
    </row>
    <row r="873" spans="2:12" ht="45.75" x14ac:dyDescent="0.25">
      <c r="B873" s="3">
        <v>889</v>
      </c>
      <c r="C873" s="3" t="s">
        <v>450</v>
      </c>
      <c r="D873" s="3" t="s">
        <v>1933</v>
      </c>
      <c r="E873" s="40">
        <v>30</v>
      </c>
      <c r="F873" s="4">
        <v>30</v>
      </c>
      <c r="G873" s="5" t="s">
        <v>2014</v>
      </c>
      <c r="H873" s="6" t="s">
        <v>81</v>
      </c>
      <c r="I873" s="12" t="s">
        <v>19</v>
      </c>
      <c r="J873" s="8" t="s">
        <v>7</v>
      </c>
      <c r="K873" s="67" t="s">
        <v>2059</v>
      </c>
      <c r="L873" s="3"/>
    </row>
    <row r="874" spans="2:12" ht="45" x14ac:dyDescent="0.25">
      <c r="B874" s="3">
        <v>890</v>
      </c>
      <c r="C874" s="3" t="s">
        <v>1927</v>
      </c>
      <c r="D874" s="3" t="s">
        <v>1934</v>
      </c>
      <c r="E874" s="40" t="s">
        <v>2254</v>
      </c>
      <c r="F874" s="4">
        <v>2479.98</v>
      </c>
      <c r="G874" s="5" t="s">
        <v>2014</v>
      </c>
      <c r="H874" s="6" t="s">
        <v>81</v>
      </c>
      <c r="I874" s="12" t="s">
        <v>19</v>
      </c>
      <c r="J874" s="10" t="s">
        <v>11</v>
      </c>
      <c r="K874" s="67" t="s">
        <v>2060</v>
      </c>
      <c r="L874" s="3"/>
    </row>
    <row r="875" spans="2:12" ht="101.25" x14ac:dyDescent="0.25">
      <c r="B875" s="1">
        <v>891</v>
      </c>
      <c r="C875" s="3" t="s">
        <v>2077</v>
      </c>
      <c r="D875" s="3" t="s">
        <v>101</v>
      </c>
      <c r="E875" s="40" t="s">
        <v>2748</v>
      </c>
      <c r="F875" s="4">
        <v>189364</v>
      </c>
      <c r="G875" s="5" t="s">
        <v>2084</v>
      </c>
      <c r="H875" s="6" t="s">
        <v>81</v>
      </c>
      <c r="I875" s="12" t="s">
        <v>19</v>
      </c>
      <c r="J875" s="10" t="s">
        <v>566</v>
      </c>
      <c r="K875" s="67" t="s">
        <v>2061</v>
      </c>
      <c r="L875" s="3"/>
    </row>
    <row r="876" spans="2:12" ht="90" x14ac:dyDescent="0.25">
      <c r="B876" s="1">
        <v>892</v>
      </c>
      <c r="C876" s="3" t="s">
        <v>2078</v>
      </c>
      <c r="D876" s="3" t="s">
        <v>2079</v>
      </c>
      <c r="E876" s="40" t="s">
        <v>2142</v>
      </c>
      <c r="F876" s="4">
        <v>47340</v>
      </c>
      <c r="G876" s="5" t="s">
        <v>2084</v>
      </c>
      <c r="H876" s="6" t="s">
        <v>81</v>
      </c>
      <c r="I876" s="12" t="s">
        <v>19</v>
      </c>
      <c r="J876" s="10" t="s">
        <v>866</v>
      </c>
      <c r="K876" s="67" t="s">
        <v>2085</v>
      </c>
      <c r="L876" s="3"/>
    </row>
    <row r="877" spans="2:12" ht="45" x14ac:dyDescent="0.25">
      <c r="B877" s="3">
        <v>893</v>
      </c>
      <c r="C877" s="3" t="s">
        <v>444</v>
      </c>
      <c r="D877" s="3" t="s">
        <v>543</v>
      </c>
      <c r="E877" s="40" t="s">
        <v>1898</v>
      </c>
      <c r="F877" s="4">
        <v>800</v>
      </c>
      <c r="G877" s="5" t="s">
        <v>2086</v>
      </c>
      <c r="H877" s="6" t="s">
        <v>81</v>
      </c>
      <c r="I877" s="12" t="s">
        <v>19</v>
      </c>
      <c r="J877" s="12" t="s">
        <v>3</v>
      </c>
      <c r="K877" s="67" t="s">
        <v>2087</v>
      </c>
      <c r="L877" s="3"/>
    </row>
    <row r="878" spans="2:12" ht="45" x14ac:dyDescent="0.25">
      <c r="B878" s="3">
        <v>894</v>
      </c>
      <c r="C878" s="3" t="s">
        <v>2080</v>
      </c>
      <c r="D878" s="3" t="s">
        <v>85</v>
      </c>
      <c r="E878" s="40" t="s">
        <v>2247</v>
      </c>
      <c r="F878" s="4">
        <v>220</v>
      </c>
      <c r="G878" s="5" t="s">
        <v>2086</v>
      </c>
      <c r="H878" s="6" t="s">
        <v>81</v>
      </c>
      <c r="I878" s="12" t="s">
        <v>19</v>
      </c>
      <c r="J878" s="12" t="s">
        <v>3</v>
      </c>
      <c r="K878" s="67" t="s">
        <v>2088</v>
      </c>
      <c r="L878" s="3"/>
    </row>
    <row r="879" spans="2:12" ht="45" x14ac:dyDescent="0.25">
      <c r="B879" s="1">
        <v>895</v>
      </c>
      <c r="C879" s="3" t="s">
        <v>448</v>
      </c>
      <c r="D879" s="3" t="s">
        <v>89</v>
      </c>
      <c r="E879" s="40" t="s">
        <v>2239</v>
      </c>
      <c r="F879" s="4">
        <v>360</v>
      </c>
      <c r="G879" s="5" t="s">
        <v>2086</v>
      </c>
      <c r="H879" s="6" t="s">
        <v>81</v>
      </c>
      <c r="I879" s="12" t="s">
        <v>19</v>
      </c>
      <c r="J879" s="12" t="s">
        <v>3</v>
      </c>
      <c r="K879" s="67" t="s">
        <v>2089</v>
      </c>
      <c r="L879" s="3"/>
    </row>
    <row r="880" spans="2:12" ht="101.25" x14ac:dyDescent="0.25">
      <c r="B880" s="3">
        <v>897</v>
      </c>
      <c r="C880" s="3" t="s">
        <v>2081</v>
      </c>
      <c r="D880" s="3" t="s">
        <v>809</v>
      </c>
      <c r="E880" s="40" t="s">
        <v>2466</v>
      </c>
      <c r="F880" s="4">
        <v>21000</v>
      </c>
      <c r="G880" s="5" t="s">
        <v>2090</v>
      </c>
      <c r="H880" s="6" t="s">
        <v>81</v>
      </c>
      <c r="I880" s="12" t="s">
        <v>19</v>
      </c>
      <c r="J880" s="10" t="s">
        <v>566</v>
      </c>
      <c r="K880" s="67" t="s">
        <v>2237</v>
      </c>
      <c r="L880" s="3"/>
    </row>
    <row r="881" spans="2:12" ht="45" x14ac:dyDescent="0.25">
      <c r="B881" s="3">
        <v>898</v>
      </c>
      <c r="C881" s="3" t="s">
        <v>448</v>
      </c>
      <c r="D881" s="3" t="s">
        <v>89</v>
      </c>
      <c r="E881" s="40">
        <v>239</v>
      </c>
      <c r="F881" s="4">
        <v>350</v>
      </c>
      <c r="G881" s="5" t="s">
        <v>2090</v>
      </c>
      <c r="H881" s="6" t="s">
        <v>81</v>
      </c>
      <c r="I881" s="12" t="s">
        <v>19</v>
      </c>
      <c r="J881" s="12" t="s">
        <v>3</v>
      </c>
      <c r="K881" s="67" t="s">
        <v>2238</v>
      </c>
      <c r="L881" s="3"/>
    </row>
    <row r="882" spans="2:12" ht="45" x14ac:dyDescent="0.25">
      <c r="B882" s="1">
        <v>899</v>
      </c>
      <c r="C882" s="3" t="s">
        <v>1921</v>
      </c>
      <c r="D882" s="3" t="s">
        <v>89</v>
      </c>
      <c r="E882" s="40" t="s">
        <v>2141</v>
      </c>
      <c r="F882" s="4">
        <v>280</v>
      </c>
      <c r="G882" s="5" t="s">
        <v>2090</v>
      </c>
      <c r="H882" s="6" t="s">
        <v>81</v>
      </c>
      <c r="I882" s="12" t="s">
        <v>19</v>
      </c>
      <c r="J882" s="12" t="s">
        <v>3</v>
      </c>
      <c r="K882" s="67" t="s">
        <v>2140</v>
      </c>
      <c r="L882" s="3"/>
    </row>
    <row r="883" spans="2:12" ht="45" x14ac:dyDescent="0.25">
      <c r="B883" s="1">
        <v>900</v>
      </c>
      <c r="C883" s="3" t="s">
        <v>787</v>
      </c>
      <c r="D883" s="3" t="s">
        <v>89</v>
      </c>
      <c r="E883" s="40">
        <v>279.04000000000002</v>
      </c>
      <c r="F883" s="4">
        <v>280</v>
      </c>
      <c r="G883" s="5" t="s">
        <v>2090</v>
      </c>
      <c r="H883" s="6" t="s">
        <v>81</v>
      </c>
      <c r="I883" s="12" t="s">
        <v>19</v>
      </c>
      <c r="J883" s="12" t="s">
        <v>3</v>
      </c>
      <c r="K883" s="67" t="s">
        <v>2134</v>
      </c>
      <c r="L883" s="3"/>
    </row>
    <row r="884" spans="2:12" ht="45" x14ac:dyDescent="0.25">
      <c r="B884" s="3">
        <v>901</v>
      </c>
      <c r="C884" s="3" t="s">
        <v>1189</v>
      </c>
      <c r="D884" s="3" t="s">
        <v>89</v>
      </c>
      <c r="E884" s="40">
        <v>277.75</v>
      </c>
      <c r="F884" s="4">
        <v>280</v>
      </c>
      <c r="G884" s="5" t="s">
        <v>2090</v>
      </c>
      <c r="H884" s="6" t="s">
        <v>81</v>
      </c>
      <c r="I884" s="12" t="s">
        <v>19</v>
      </c>
      <c r="J884" s="12" t="s">
        <v>3</v>
      </c>
      <c r="K884" s="67" t="s">
        <v>2135</v>
      </c>
      <c r="L884" s="3"/>
    </row>
    <row r="885" spans="2:12" ht="45" x14ac:dyDescent="0.25">
      <c r="B885" s="3">
        <v>902</v>
      </c>
      <c r="C885" s="3" t="s">
        <v>949</v>
      </c>
      <c r="D885" s="3" t="s">
        <v>89</v>
      </c>
      <c r="E885" s="40">
        <v>280</v>
      </c>
      <c r="F885" s="4">
        <v>280</v>
      </c>
      <c r="G885" s="5" t="s">
        <v>2090</v>
      </c>
      <c r="H885" s="6" t="s">
        <v>81</v>
      </c>
      <c r="I885" s="12" t="s">
        <v>19</v>
      </c>
      <c r="J885" s="12" t="s">
        <v>3</v>
      </c>
      <c r="K885" s="67" t="s">
        <v>2136</v>
      </c>
      <c r="L885" s="3"/>
    </row>
    <row r="886" spans="2:12" ht="45" x14ac:dyDescent="0.25">
      <c r="B886" s="1">
        <v>903</v>
      </c>
      <c r="C886" s="3" t="s">
        <v>614</v>
      </c>
      <c r="D886" s="3" t="s">
        <v>89</v>
      </c>
      <c r="E886" s="40" t="s">
        <v>2464</v>
      </c>
      <c r="F886" s="4">
        <v>280</v>
      </c>
      <c r="G886" s="5" t="s">
        <v>2090</v>
      </c>
      <c r="H886" s="6" t="s">
        <v>81</v>
      </c>
      <c r="I886" s="12" t="s">
        <v>19</v>
      </c>
      <c r="J886" s="12" t="s">
        <v>3</v>
      </c>
      <c r="K886" s="67" t="s">
        <v>2137</v>
      </c>
      <c r="L886" s="3"/>
    </row>
    <row r="887" spans="2:12" ht="45" x14ac:dyDescent="0.25">
      <c r="B887" s="1">
        <v>904</v>
      </c>
      <c r="C887" s="3" t="s">
        <v>2082</v>
      </c>
      <c r="D887" s="3" t="s">
        <v>89</v>
      </c>
      <c r="E887" s="40">
        <v>279.95</v>
      </c>
      <c r="F887" s="4">
        <v>280</v>
      </c>
      <c r="G887" s="5" t="s">
        <v>2090</v>
      </c>
      <c r="H887" s="6" t="s">
        <v>81</v>
      </c>
      <c r="I887" s="12" t="s">
        <v>19</v>
      </c>
      <c r="J887" s="12" t="s">
        <v>3</v>
      </c>
      <c r="K887" s="67" t="s">
        <v>2138</v>
      </c>
      <c r="L887" s="3"/>
    </row>
    <row r="888" spans="2:12" ht="45" x14ac:dyDescent="0.25">
      <c r="B888" s="3">
        <v>905</v>
      </c>
      <c r="C888" s="3" t="s">
        <v>799</v>
      </c>
      <c r="D888" s="3" t="s">
        <v>89</v>
      </c>
      <c r="E888" s="40">
        <v>347.6</v>
      </c>
      <c r="F888" s="4">
        <v>350</v>
      </c>
      <c r="G888" s="5" t="s">
        <v>2090</v>
      </c>
      <c r="H888" s="6" t="s">
        <v>81</v>
      </c>
      <c r="I888" s="12" t="s">
        <v>19</v>
      </c>
      <c r="J888" s="12" t="s">
        <v>3</v>
      </c>
      <c r="K888" s="67" t="s">
        <v>2139</v>
      </c>
      <c r="L888" s="3"/>
    </row>
    <row r="889" spans="2:12" ht="45" x14ac:dyDescent="0.25">
      <c r="B889" s="3">
        <v>906</v>
      </c>
      <c r="C889" s="3" t="s">
        <v>800</v>
      </c>
      <c r="D889" s="3" t="s">
        <v>85</v>
      </c>
      <c r="E889" s="40">
        <v>700</v>
      </c>
      <c r="F889" s="4">
        <v>700</v>
      </c>
      <c r="G889" s="5" t="s">
        <v>2090</v>
      </c>
      <c r="H889" s="6" t="s">
        <v>81</v>
      </c>
      <c r="I889" s="12" t="s">
        <v>19</v>
      </c>
      <c r="J889" s="12" t="s">
        <v>3</v>
      </c>
      <c r="K889" s="67" t="s">
        <v>2132</v>
      </c>
      <c r="L889" s="3"/>
    </row>
    <row r="890" spans="2:12" ht="45" x14ac:dyDescent="0.25">
      <c r="B890" s="1">
        <v>907</v>
      </c>
      <c r="C890" s="3" t="s">
        <v>169</v>
      </c>
      <c r="D890" s="3" t="s">
        <v>543</v>
      </c>
      <c r="E890" s="40" t="s">
        <v>2143</v>
      </c>
      <c r="F890" s="4">
        <v>5400</v>
      </c>
      <c r="G890" s="5" t="s">
        <v>2091</v>
      </c>
      <c r="H890" s="6" t="s">
        <v>81</v>
      </c>
      <c r="I890" s="12" t="s">
        <v>19</v>
      </c>
      <c r="J890" s="12" t="s">
        <v>3</v>
      </c>
      <c r="K890" s="67" t="s">
        <v>2133</v>
      </c>
      <c r="L890" s="3"/>
    </row>
    <row r="891" spans="2:12" ht="45" x14ac:dyDescent="0.25">
      <c r="B891" s="1">
        <v>908</v>
      </c>
      <c r="C891" s="3" t="s">
        <v>170</v>
      </c>
      <c r="D891" s="3" t="s">
        <v>83</v>
      </c>
      <c r="E891" s="40" t="s">
        <v>2145</v>
      </c>
      <c r="F891" s="4">
        <v>2925</v>
      </c>
      <c r="G891" s="5" t="s">
        <v>2091</v>
      </c>
      <c r="H891" s="6" t="s">
        <v>81</v>
      </c>
      <c r="I891" s="12" t="s">
        <v>19</v>
      </c>
      <c r="J891" s="12" t="s">
        <v>3</v>
      </c>
      <c r="K891" s="67" t="s">
        <v>2144</v>
      </c>
      <c r="L891" s="3"/>
    </row>
    <row r="892" spans="2:12" ht="45" x14ac:dyDescent="0.25">
      <c r="B892" s="3">
        <v>909</v>
      </c>
      <c r="C892" s="3" t="s">
        <v>2083</v>
      </c>
      <c r="D892" s="3" t="s">
        <v>815</v>
      </c>
      <c r="E892" s="40" t="s">
        <v>2093</v>
      </c>
      <c r="F892" s="4">
        <v>37</v>
      </c>
      <c r="G892" s="5" t="s">
        <v>2091</v>
      </c>
      <c r="H892" s="6" t="s">
        <v>81</v>
      </c>
      <c r="I892" s="12" t="s">
        <v>19</v>
      </c>
      <c r="J892" s="10" t="s">
        <v>11</v>
      </c>
      <c r="K892" s="67" t="s">
        <v>2092</v>
      </c>
      <c r="L892" s="3"/>
    </row>
    <row r="893" spans="2:12" ht="22.5" x14ac:dyDescent="0.25">
      <c r="B893" s="3">
        <v>910</v>
      </c>
      <c r="C893" s="3" t="s">
        <v>2094</v>
      </c>
      <c r="D893" s="3" t="s">
        <v>2095</v>
      </c>
      <c r="E893" s="77">
        <v>1300</v>
      </c>
      <c r="F893" s="4">
        <v>1300</v>
      </c>
      <c r="G893" s="5" t="s">
        <v>2111</v>
      </c>
      <c r="H893" s="6" t="s">
        <v>81</v>
      </c>
      <c r="I893" s="12" t="s">
        <v>12</v>
      </c>
      <c r="J893" s="12" t="s">
        <v>2112</v>
      </c>
      <c r="K893" s="67"/>
      <c r="L893" s="3"/>
    </row>
    <row r="894" spans="2:12" ht="45" x14ac:dyDescent="0.25">
      <c r="B894" s="1">
        <v>911</v>
      </c>
      <c r="C894" s="3" t="s">
        <v>93</v>
      </c>
      <c r="D894" s="3" t="s">
        <v>297</v>
      </c>
      <c r="E894" s="40" t="s">
        <v>1341</v>
      </c>
      <c r="F894" s="4">
        <v>1000</v>
      </c>
      <c r="G894" s="5" t="s">
        <v>2113</v>
      </c>
      <c r="H894" s="6" t="s">
        <v>81</v>
      </c>
      <c r="I894" s="12" t="s">
        <v>19</v>
      </c>
      <c r="J894" s="12" t="s">
        <v>3</v>
      </c>
      <c r="K894" s="67" t="s">
        <v>2114</v>
      </c>
      <c r="L894" s="3"/>
    </row>
    <row r="895" spans="2:12" ht="45" x14ac:dyDescent="0.25">
      <c r="B895" s="1">
        <v>912</v>
      </c>
      <c r="C895" s="3" t="s">
        <v>2096</v>
      </c>
      <c r="D895" s="3" t="s">
        <v>89</v>
      </c>
      <c r="E895" s="40" t="s">
        <v>577</v>
      </c>
      <c r="F895" s="4">
        <v>2400</v>
      </c>
      <c r="G895" s="5" t="s">
        <v>2113</v>
      </c>
      <c r="H895" s="6" t="s">
        <v>81</v>
      </c>
      <c r="I895" s="12" t="s">
        <v>19</v>
      </c>
      <c r="J895" s="12" t="s">
        <v>3</v>
      </c>
      <c r="K895" s="67" t="s">
        <v>2115</v>
      </c>
      <c r="L895" s="3"/>
    </row>
    <row r="896" spans="2:12" ht="45" x14ac:dyDescent="0.25">
      <c r="B896" s="3">
        <v>913</v>
      </c>
      <c r="C896" s="3" t="s">
        <v>2097</v>
      </c>
      <c r="D896" s="3" t="s">
        <v>85</v>
      </c>
      <c r="E896" s="40" t="s">
        <v>2240</v>
      </c>
      <c r="F896" s="4">
        <v>1215.4000000000001</v>
      </c>
      <c r="G896" s="5" t="s">
        <v>2116</v>
      </c>
      <c r="H896" s="6" t="s">
        <v>81</v>
      </c>
      <c r="I896" s="12" t="s">
        <v>19</v>
      </c>
      <c r="J896" s="12" t="s">
        <v>3</v>
      </c>
      <c r="K896" s="67" t="s">
        <v>2151</v>
      </c>
      <c r="L896" s="3"/>
    </row>
    <row r="897" spans="2:12" ht="45" x14ac:dyDescent="0.25">
      <c r="B897" s="3">
        <v>914</v>
      </c>
      <c r="C897" s="3" t="s">
        <v>1523</v>
      </c>
      <c r="D897" s="3" t="s">
        <v>85</v>
      </c>
      <c r="E897" s="40" t="s">
        <v>2236</v>
      </c>
      <c r="F897" s="4">
        <v>1190</v>
      </c>
      <c r="G897" s="5" t="s">
        <v>2116</v>
      </c>
      <c r="H897" s="6" t="s">
        <v>81</v>
      </c>
      <c r="I897" s="12" t="s">
        <v>19</v>
      </c>
      <c r="J897" s="12" t="s">
        <v>3</v>
      </c>
      <c r="K897" s="67" t="s">
        <v>2152</v>
      </c>
      <c r="L897" s="3"/>
    </row>
    <row r="898" spans="2:12" ht="45" x14ac:dyDescent="0.25">
      <c r="B898" s="1">
        <v>916</v>
      </c>
      <c r="C898" s="3" t="s">
        <v>801</v>
      </c>
      <c r="D898" s="3" t="s">
        <v>89</v>
      </c>
      <c r="E898" s="40">
        <v>279.83999999999997</v>
      </c>
      <c r="F898" s="4">
        <v>280</v>
      </c>
      <c r="G898" s="5" t="s">
        <v>2116</v>
      </c>
      <c r="H898" s="6" t="s">
        <v>81</v>
      </c>
      <c r="I898" s="12" t="s">
        <v>19</v>
      </c>
      <c r="J898" s="12" t="s">
        <v>3</v>
      </c>
      <c r="K898" s="67" t="s">
        <v>2117</v>
      </c>
      <c r="L898" s="3"/>
    </row>
    <row r="899" spans="2:12" ht="45" x14ac:dyDescent="0.25">
      <c r="B899" s="3">
        <v>917</v>
      </c>
      <c r="C899" s="3" t="s">
        <v>645</v>
      </c>
      <c r="D899" s="3" t="s">
        <v>89</v>
      </c>
      <c r="E899" s="40" t="s">
        <v>743</v>
      </c>
      <c r="F899" s="4">
        <v>350</v>
      </c>
      <c r="G899" s="5" t="s">
        <v>2116</v>
      </c>
      <c r="H899" s="6" t="s">
        <v>81</v>
      </c>
      <c r="I899" s="12" t="s">
        <v>19</v>
      </c>
      <c r="J899" s="12" t="s">
        <v>3</v>
      </c>
      <c r="K899" s="67" t="s">
        <v>2118</v>
      </c>
      <c r="L899" s="3"/>
    </row>
    <row r="900" spans="2:12" ht="45" x14ac:dyDescent="0.25">
      <c r="B900" s="3">
        <v>918</v>
      </c>
      <c r="C900" s="3" t="s">
        <v>1901</v>
      </c>
      <c r="D900" s="3" t="s">
        <v>89</v>
      </c>
      <c r="E900" s="40" t="s">
        <v>2428</v>
      </c>
      <c r="F900" s="4">
        <v>280</v>
      </c>
      <c r="G900" s="5" t="s">
        <v>2116</v>
      </c>
      <c r="H900" s="6" t="s">
        <v>81</v>
      </c>
      <c r="I900" s="12" t="s">
        <v>19</v>
      </c>
      <c r="J900" s="12" t="s">
        <v>3</v>
      </c>
      <c r="K900" s="67" t="s">
        <v>2153</v>
      </c>
      <c r="L900" s="3"/>
    </row>
    <row r="901" spans="2:12" ht="45" x14ac:dyDescent="0.25">
      <c r="B901" s="1">
        <v>919</v>
      </c>
      <c r="C901" s="3" t="s">
        <v>2098</v>
      </c>
      <c r="D901" s="3" t="s">
        <v>83</v>
      </c>
      <c r="E901" s="40" t="s">
        <v>2149</v>
      </c>
      <c r="F901" s="4">
        <v>1325</v>
      </c>
      <c r="G901" s="5" t="s">
        <v>2119</v>
      </c>
      <c r="H901" s="6" t="s">
        <v>81</v>
      </c>
      <c r="I901" s="12" t="s">
        <v>19</v>
      </c>
      <c r="J901" s="12" t="s">
        <v>3</v>
      </c>
      <c r="K901" s="67" t="s">
        <v>2148</v>
      </c>
      <c r="L901" s="3"/>
    </row>
    <row r="902" spans="2:12" ht="45" x14ac:dyDescent="0.25">
      <c r="B902" s="1">
        <v>920</v>
      </c>
      <c r="C902" s="3" t="s">
        <v>645</v>
      </c>
      <c r="D902" s="3" t="s">
        <v>89</v>
      </c>
      <c r="E902" s="40">
        <v>119.9</v>
      </c>
      <c r="F902" s="4">
        <v>120</v>
      </c>
      <c r="G902" s="5" t="s">
        <v>2119</v>
      </c>
      <c r="H902" s="6" t="s">
        <v>81</v>
      </c>
      <c r="I902" s="12" t="s">
        <v>19</v>
      </c>
      <c r="J902" s="12" t="s">
        <v>3</v>
      </c>
      <c r="K902" s="67" t="s">
        <v>2154</v>
      </c>
      <c r="L902" s="3"/>
    </row>
    <row r="903" spans="2:12" ht="45" x14ac:dyDescent="0.25">
      <c r="B903" s="3">
        <v>921</v>
      </c>
      <c r="C903" s="3" t="s">
        <v>497</v>
      </c>
      <c r="D903" s="3" t="s">
        <v>89</v>
      </c>
      <c r="E903" s="40">
        <v>100</v>
      </c>
      <c r="F903" s="4">
        <v>100</v>
      </c>
      <c r="G903" s="5" t="s">
        <v>2119</v>
      </c>
      <c r="H903" s="6" t="s">
        <v>81</v>
      </c>
      <c r="I903" s="12" t="s">
        <v>19</v>
      </c>
      <c r="J903" s="12" t="s">
        <v>3</v>
      </c>
      <c r="K903" s="67" t="s">
        <v>2155</v>
      </c>
      <c r="L903" s="3"/>
    </row>
    <row r="904" spans="2:12" ht="45" x14ac:dyDescent="0.25">
      <c r="B904" s="3">
        <v>922</v>
      </c>
      <c r="C904" s="3" t="s">
        <v>986</v>
      </c>
      <c r="D904" s="3" t="s">
        <v>543</v>
      </c>
      <c r="E904" s="40" t="s">
        <v>2241</v>
      </c>
      <c r="F904" s="4">
        <v>1600</v>
      </c>
      <c r="G904" s="5" t="s">
        <v>2119</v>
      </c>
      <c r="H904" s="6" t="s">
        <v>81</v>
      </c>
      <c r="I904" s="12" t="s">
        <v>19</v>
      </c>
      <c r="J904" s="12" t="s">
        <v>3</v>
      </c>
      <c r="K904" s="67" t="s">
        <v>2156</v>
      </c>
      <c r="L904" s="3"/>
    </row>
    <row r="905" spans="2:12" ht="45" x14ac:dyDescent="0.25">
      <c r="B905" s="1">
        <v>923</v>
      </c>
      <c r="C905" s="3" t="s">
        <v>603</v>
      </c>
      <c r="D905" s="3" t="s">
        <v>85</v>
      </c>
      <c r="E905" s="40" t="s">
        <v>2552</v>
      </c>
      <c r="F905" s="4">
        <v>916.38</v>
      </c>
      <c r="G905" s="5" t="s">
        <v>2119</v>
      </c>
      <c r="H905" s="6" t="s">
        <v>81</v>
      </c>
      <c r="I905" s="12" t="s">
        <v>19</v>
      </c>
      <c r="J905" s="12" t="s">
        <v>3</v>
      </c>
      <c r="K905" s="67" t="s">
        <v>2157</v>
      </c>
      <c r="L905" s="3"/>
    </row>
    <row r="906" spans="2:12" ht="22.5" x14ac:dyDescent="0.25">
      <c r="B906" s="1">
        <v>924</v>
      </c>
      <c r="C906" s="3" t="s">
        <v>2099</v>
      </c>
      <c r="D906" s="3" t="s">
        <v>2100</v>
      </c>
      <c r="E906" s="77">
        <v>43959.79</v>
      </c>
      <c r="F906" s="4">
        <v>43959.79</v>
      </c>
      <c r="G906" s="5" t="s">
        <v>2119</v>
      </c>
      <c r="H906" s="6" t="s">
        <v>81</v>
      </c>
      <c r="I906" s="12" t="s">
        <v>12</v>
      </c>
      <c r="J906" s="12" t="s">
        <v>2120</v>
      </c>
      <c r="K906" s="67"/>
      <c r="L906" s="3"/>
    </row>
    <row r="907" spans="2:12" ht="45" x14ac:dyDescent="0.25">
      <c r="B907" s="3">
        <v>925</v>
      </c>
      <c r="C907" s="3" t="s">
        <v>623</v>
      </c>
      <c r="D907" s="3" t="s">
        <v>104</v>
      </c>
      <c r="E907" s="40" t="s">
        <v>2246</v>
      </c>
      <c r="F907" s="4">
        <v>2651</v>
      </c>
      <c r="G907" s="5" t="s">
        <v>2119</v>
      </c>
      <c r="H907" s="6" t="s">
        <v>81</v>
      </c>
      <c r="I907" s="12" t="s">
        <v>19</v>
      </c>
      <c r="J907" s="12" t="s">
        <v>3</v>
      </c>
      <c r="K907" s="67" t="s">
        <v>2158</v>
      </c>
      <c r="L907" s="3"/>
    </row>
    <row r="908" spans="2:12" ht="45" x14ac:dyDescent="0.25">
      <c r="B908" s="3">
        <v>926</v>
      </c>
      <c r="C908" s="3" t="s">
        <v>103</v>
      </c>
      <c r="D908" s="3" t="s">
        <v>104</v>
      </c>
      <c r="E908" s="40" t="s">
        <v>2243</v>
      </c>
      <c r="F908" s="4">
        <v>6171</v>
      </c>
      <c r="G908" s="5" t="s">
        <v>2119</v>
      </c>
      <c r="H908" s="6" t="s">
        <v>81</v>
      </c>
      <c r="I908" s="12" t="s">
        <v>19</v>
      </c>
      <c r="J908" s="12" t="s">
        <v>3</v>
      </c>
      <c r="K908" s="67" t="s">
        <v>2159</v>
      </c>
      <c r="L908" s="3"/>
    </row>
    <row r="909" spans="2:12" ht="45" x14ac:dyDescent="0.25">
      <c r="B909" s="1">
        <v>927</v>
      </c>
      <c r="C909" s="3" t="s">
        <v>103</v>
      </c>
      <c r="D909" s="3" t="s">
        <v>104</v>
      </c>
      <c r="E909" s="40" t="s">
        <v>2244</v>
      </c>
      <c r="F909" s="4">
        <v>3400</v>
      </c>
      <c r="G909" s="5" t="s">
        <v>2119</v>
      </c>
      <c r="H909" s="6" t="s">
        <v>81</v>
      </c>
      <c r="I909" s="12" t="s">
        <v>19</v>
      </c>
      <c r="J909" s="12" t="s">
        <v>3</v>
      </c>
      <c r="K909" s="67" t="s">
        <v>2160</v>
      </c>
      <c r="L909" s="3"/>
    </row>
    <row r="910" spans="2:12" ht="22.5" x14ac:dyDescent="0.25">
      <c r="B910" s="1">
        <v>928</v>
      </c>
      <c r="C910" s="3" t="s">
        <v>2101</v>
      </c>
      <c r="D910" s="3" t="s">
        <v>2102</v>
      </c>
      <c r="E910" s="43">
        <v>17900</v>
      </c>
      <c r="F910" s="4">
        <v>17900</v>
      </c>
      <c r="G910" s="5" t="s">
        <v>2121</v>
      </c>
      <c r="H910" s="6" t="s">
        <v>81</v>
      </c>
      <c r="I910" s="12" t="s">
        <v>12</v>
      </c>
      <c r="J910" s="12" t="s">
        <v>2122</v>
      </c>
      <c r="K910" s="67"/>
      <c r="L910" s="3"/>
    </row>
    <row r="911" spans="2:12" ht="101.25" x14ac:dyDescent="0.25">
      <c r="B911" s="3">
        <v>929</v>
      </c>
      <c r="C911" s="3" t="s">
        <v>2103</v>
      </c>
      <c r="D911" s="3" t="s">
        <v>1209</v>
      </c>
      <c r="E911" s="40" t="s">
        <v>428</v>
      </c>
      <c r="F911" s="4">
        <v>1500</v>
      </c>
      <c r="G911" s="5" t="s">
        <v>2123</v>
      </c>
      <c r="H911" s="6" t="s">
        <v>81</v>
      </c>
      <c r="I911" s="12" t="s">
        <v>19</v>
      </c>
      <c r="J911" s="10" t="s">
        <v>284</v>
      </c>
      <c r="K911" s="67" t="s">
        <v>2161</v>
      </c>
      <c r="L911" s="3"/>
    </row>
    <row r="912" spans="2:12" ht="45" x14ac:dyDescent="0.25">
      <c r="B912" s="3">
        <v>930</v>
      </c>
      <c r="C912" s="3" t="s">
        <v>2104</v>
      </c>
      <c r="D912" s="3" t="s">
        <v>89</v>
      </c>
      <c r="E912" s="40">
        <v>240</v>
      </c>
      <c r="F912" s="4">
        <v>350</v>
      </c>
      <c r="G912" s="5" t="s">
        <v>2124</v>
      </c>
      <c r="H912" s="6" t="s">
        <v>81</v>
      </c>
      <c r="I912" s="12" t="s">
        <v>19</v>
      </c>
      <c r="J912" s="12" t="s">
        <v>3</v>
      </c>
      <c r="K912" s="67" t="s">
        <v>2162</v>
      </c>
      <c r="L912" s="3"/>
    </row>
    <row r="913" spans="2:12" ht="45" x14ac:dyDescent="0.25">
      <c r="B913" s="1">
        <v>931</v>
      </c>
      <c r="C913" s="3" t="s">
        <v>1480</v>
      </c>
      <c r="D913" s="3" t="s">
        <v>83</v>
      </c>
      <c r="E913" s="40" t="s">
        <v>2249</v>
      </c>
      <c r="F913" s="4">
        <v>2850</v>
      </c>
      <c r="G913" s="5" t="s">
        <v>2124</v>
      </c>
      <c r="H913" s="6" t="s">
        <v>81</v>
      </c>
      <c r="I913" s="12" t="s">
        <v>19</v>
      </c>
      <c r="J913" s="12" t="s">
        <v>3</v>
      </c>
      <c r="K913" s="67" t="s">
        <v>2163</v>
      </c>
      <c r="L913" s="3"/>
    </row>
    <row r="914" spans="2:12" ht="45" x14ac:dyDescent="0.25">
      <c r="B914" s="1">
        <v>932</v>
      </c>
      <c r="C914" s="3" t="s">
        <v>2105</v>
      </c>
      <c r="D914" s="3" t="s">
        <v>89</v>
      </c>
      <c r="E914" s="40">
        <v>350</v>
      </c>
      <c r="F914" s="4">
        <v>420</v>
      </c>
      <c r="G914" s="5" t="s">
        <v>2124</v>
      </c>
      <c r="H914" s="6" t="s">
        <v>81</v>
      </c>
      <c r="I914" s="12" t="s">
        <v>19</v>
      </c>
      <c r="J914" s="12" t="s">
        <v>3</v>
      </c>
      <c r="K914" s="67" t="s">
        <v>2164</v>
      </c>
      <c r="L914" s="3"/>
    </row>
    <row r="915" spans="2:12" ht="45" x14ac:dyDescent="0.25">
      <c r="B915" s="3">
        <v>933</v>
      </c>
      <c r="C915" s="3" t="s">
        <v>1467</v>
      </c>
      <c r="D915" s="3" t="s">
        <v>85</v>
      </c>
      <c r="E915" s="40" t="s">
        <v>2465</v>
      </c>
      <c r="F915" s="4">
        <v>3990</v>
      </c>
      <c r="G915" s="5" t="s">
        <v>2124</v>
      </c>
      <c r="H915" s="6" t="s">
        <v>81</v>
      </c>
      <c r="I915" s="12" t="s">
        <v>19</v>
      </c>
      <c r="J915" s="12" t="s">
        <v>3</v>
      </c>
      <c r="K915" s="67" t="s">
        <v>2165</v>
      </c>
      <c r="L915" s="3"/>
    </row>
    <row r="916" spans="2:12" ht="45" x14ac:dyDescent="0.25">
      <c r="B916" s="3">
        <v>934</v>
      </c>
      <c r="C916" s="3" t="s">
        <v>800</v>
      </c>
      <c r="D916" s="3" t="s">
        <v>85</v>
      </c>
      <c r="E916" s="40">
        <v>700</v>
      </c>
      <c r="F916" s="4">
        <v>700</v>
      </c>
      <c r="G916" s="5" t="s">
        <v>2124</v>
      </c>
      <c r="H916" s="6" t="s">
        <v>81</v>
      </c>
      <c r="I916" s="12" t="s">
        <v>19</v>
      </c>
      <c r="J916" s="12" t="s">
        <v>3</v>
      </c>
      <c r="K916" s="67" t="s">
        <v>2166</v>
      </c>
      <c r="L916" s="3"/>
    </row>
    <row r="917" spans="2:12" ht="45" x14ac:dyDescent="0.25">
      <c r="B917" s="1">
        <v>935</v>
      </c>
      <c r="C917" s="3" t="s">
        <v>448</v>
      </c>
      <c r="D917" s="3" t="s">
        <v>89</v>
      </c>
      <c r="E917" s="40" t="s">
        <v>2141</v>
      </c>
      <c r="F917" s="4">
        <v>350</v>
      </c>
      <c r="G917" s="5" t="s">
        <v>2124</v>
      </c>
      <c r="H917" s="6" t="s">
        <v>81</v>
      </c>
      <c r="I917" s="12" t="s">
        <v>19</v>
      </c>
      <c r="J917" s="12" t="s">
        <v>3</v>
      </c>
      <c r="K917" s="67" t="s">
        <v>2167</v>
      </c>
      <c r="L917" s="3"/>
    </row>
    <row r="918" spans="2:12" ht="45" x14ac:dyDescent="0.25">
      <c r="B918" s="1">
        <v>936</v>
      </c>
      <c r="C918" s="3" t="s">
        <v>2106</v>
      </c>
      <c r="D918" s="3" t="s">
        <v>89</v>
      </c>
      <c r="E918" s="40">
        <v>266</v>
      </c>
      <c r="F918" s="4">
        <v>350</v>
      </c>
      <c r="G918" s="5" t="s">
        <v>2124</v>
      </c>
      <c r="H918" s="6" t="s">
        <v>81</v>
      </c>
      <c r="I918" s="12" t="s">
        <v>19</v>
      </c>
      <c r="J918" s="12" t="s">
        <v>3</v>
      </c>
      <c r="K918" s="67" t="s">
        <v>2168</v>
      </c>
      <c r="L918" s="3"/>
    </row>
    <row r="919" spans="2:12" ht="45" x14ac:dyDescent="0.25">
      <c r="B919" s="3">
        <v>937</v>
      </c>
      <c r="C919" s="3" t="s">
        <v>799</v>
      </c>
      <c r="D919" s="3" t="s">
        <v>89</v>
      </c>
      <c r="E919" s="40">
        <v>626.45000000000005</v>
      </c>
      <c r="F919" s="4">
        <v>770</v>
      </c>
      <c r="G919" s="5" t="s">
        <v>2124</v>
      </c>
      <c r="H919" s="6" t="s">
        <v>81</v>
      </c>
      <c r="I919" s="12" t="s">
        <v>19</v>
      </c>
      <c r="J919" s="12" t="s">
        <v>3</v>
      </c>
      <c r="K919" s="67" t="s">
        <v>2169</v>
      </c>
      <c r="L919" s="3"/>
    </row>
    <row r="920" spans="2:12" ht="45" x14ac:dyDescent="0.25">
      <c r="B920" s="3">
        <v>938</v>
      </c>
      <c r="C920" s="3" t="s">
        <v>167</v>
      </c>
      <c r="D920" s="3" t="s">
        <v>89</v>
      </c>
      <c r="E920" s="40">
        <v>454.2</v>
      </c>
      <c r="F920" s="4">
        <v>1190</v>
      </c>
      <c r="G920" s="5" t="s">
        <v>2124</v>
      </c>
      <c r="H920" s="6" t="s">
        <v>81</v>
      </c>
      <c r="I920" s="12" t="s">
        <v>19</v>
      </c>
      <c r="J920" s="12" t="s">
        <v>3</v>
      </c>
      <c r="K920" s="67" t="s">
        <v>2170</v>
      </c>
      <c r="L920" s="3"/>
    </row>
    <row r="921" spans="2:12" ht="45" x14ac:dyDescent="0.25">
      <c r="B921" s="1">
        <v>939</v>
      </c>
      <c r="C921" s="3" t="s">
        <v>589</v>
      </c>
      <c r="D921" s="3" t="s">
        <v>89</v>
      </c>
      <c r="E921" s="40">
        <v>187</v>
      </c>
      <c r="F921" s="4">
        <v>350</v>
      </c>
      <c r="G921" s="5" t="s">
        <v>2124</v>
      </c>
      <c r="H921" s="6" t="s">
        <v>81</v>
      </c>
      <c r="I921" s="12" t="s">
        <v>19</v>
      </c>
      <c r="J921" s="12" t="s">
        <v>3</v>
      </c>
      <c r="K921" s="67" t="s">
        <v>2171</v>
      </c>
      <c r="L921" s="3"/>
    </row>
    <row r="922" spans="2:12" ht="45" x14ac:dyDescent="0.25">
      <c r="B922" s="1">
        <v>940</v>
      </c>
      <c r="C922" s="3" t="s">
        <v>949</v>
      </c>
      <c r="D922" s="3" t="s">
        <v>89</v>
      </c>
      <c r="E922" s="40">
        <v>280</v>
      </c>
      <c r="F922" s="4">
        <v>350</v>
      </c>
      <c r="G922" s="5" t="s">
        <v>2124</v>
      </c>
      <c r="H922" s="6" t="s">
        <v>81</v>
      </c>
      <c r="I922" s="12" t="s">
        <v>19</v>
      </c>
      <c r="J922" s="12" t="s">
        <v>3</v>
      </c>
      <c r="K922" s="67" t="s">
        <v>2172</v>
      </c>
      <c r="L922" s="3"/>
    </row>
    <row r="923" spans="2:12" ht="45" x14ac:dyDescent="0.25">
      <c r="B923" s="3">
        <v>941</v>
      </c>
      <c r="C923" s="3" t="s">
        <v>2107</v>
      </c>
      <c r="D923" s="3" t="s">
        <v>89</v>
      </c>
      <c r="E923" s="40" t="s">
        <v>2233</v>
      </c>
      <c r="F923" s="4">
        <v>800</v>
      </c>
      <c r="G923" s="5" t="s">
        <v>2124</v>
      </c>
      <c r="H923" s="6" t="s">
        <v>81</v>
      </c>
      <c r="I923" s="12" t="s">
        <v>19</v>
      </c>
      <c r="J923" s="12" t="s">
        <v>3</v>
      </c>
      <c r="K923" s="67" t="s">
        <v>2173</v>
      </c>
      <c r="L923" s="3"/>
    </row>
    <row r="924" spans="2:12" ht="45" x14ac:dyDescent="0.25">
      <c r="B924" s="3">
        <v>942</v>
      </c>
      <c r="C924" s="3" t="s">
        <v>1919</v>
      </c>
      <c r="D924" s="3" t="s">
        <v>85</v>
      </c>
      <c r="E924" s="40" t="s">
        <v>577</v>
      </c>
      <c r="F924" s="4">
        <v>1600</v>
      </c>
      <c r="G924" s="5" t="s">
        <v>2124</v>
      </c>
      <c r="H924" s="6" t="s">
        <v>81</v>
      </c>
      <c r="I924" s="12" t="s">
        <v>19</v>
      </c>
      <c r="J924" s="12" t="s">
        <v>3</v>
      </c>
      <c r="K924" s="67" t="s">
        <v>2174</v>
      </c>
      <c r="L924" s="3"/>
    </row>
    <row r="925" spans="2:12" ht="45" x14ac:dyDescent="0.25">
      <c r="B925" s="1">
        <v>943</v>
      </c>
      <c r="C925" s="3" t="s">
        <v>1919</v>
      </c>
      <c r="D925" s="3" t="s">
        <v>89</v>
      </c>
      <c r="E925" s="40" t="s">
        <v>2235</v>
      </c>
      <c r="F925" s="4">
        <v>1440</v>
      </c>
      <c r="G925" s="5" t="s">
        <v>2124</v>
      </c>
      <c r="H925" s="6" t="s">
        <v>81</v>
      </c>
      <c r="I925" s="12" t="s">
        <v>19</v>
      </c>
      <c r="J925" s="12" t="s">
        <v>3</v>
      </c>
      <c r="K925" s="67" t="s">
        <v>2175</v>
      </c>
      <c r="L925" s="3"/>
    </row>
    <row r="926" spans="2:12" ht="45" x14ac:dyDescent="0.25">
      <c r="B926" s="1">
        <v>944</v>
      </c>
      <c r="C926" s="3" t="s">
        <v>2108</v>
      </c>
      <c r="D926" s="3" t="s">
        <v>89</v>
      </c>
      <c r="E926" s="40" t="s">
        <v>2234</v>
      </c>
      <c r="F926" s="4">
        <v>800</v>
      </c>
      <c r="G926" s="5" t="s">
        <v>2124</v>
      </c>
      <c r="H926" s="6" t="s">
        <v>81</v>
      </c>
      <c r="I926" s="12" t="s">
        <v>19</v>
      </c>
      <c r="J926" s="12" t="s">
        <v>3</v>
      </c>
      <c r="K926" s="67" t="s">
        <v>2176</v>
      </c>
      <c r="L926" s="3"/>
    </row>
    <row r="927" spans="2:12" ht="45" x14ac:dyDescent="0.25">
      <c r="B927" s="3">
        <v>945</v>
      </c>
      <c r="C927" s="3" t="s">
        <v>2109</v>
      </c>
      <c r="D927" s="3" t="s">
        <v>543</v>
      </c>
      <c r="E927" s="40" t="s">
        <v>1444</v>
      </c>
      <c r="F927" s="4">
        <v>900</v>
      </c>
      <c r="G927" s="5" t="s">
        <v>2124</v>
      </c>
      <c r="H927" s="6" t="s">
        <v>81</v>
      </c>
      <c r="I927" s="12" t="s">
        <v>19</v>
      </c>
      <c r="J927" s="12" t="s">
        <v>3</v>
      </c>
      <c r="K927" s="67" t="s">
        <v>2177</v>
      </c>
      <c r="L927" s="3"/>
    </row>
    <row r="928" spans="2:12" ht="45" x14ac:dyDescent="0.25">
      <c r="B928" s="3">
        <v>946</v>
      </c>
      <c r="C928" s="3" t="s">
        <v>2109</v>
      </c>
      <c r="D928" s="3" t="s">
        <v>543</v>
      </c>
      <c r="E928" s="40" t="s">
        <v>2248</v>
      </c>
      <c r="F928" s="4">
        <v>3500</v>
      </c>
      <c r="G928" s="5" t="s">
        <v>2124</v>
      </c>
      <c r="H928" s="6" t="s">
        <v>81</v>
      </c>
      <c r="I928" s="12" t="s">
        <v>19</v>
      </c>
      <c r="J928" s="12" t="s">
        <v>3</v>
      </c>
      <c r="K928" s="67" t="s">
        <v>2178</v>
      </c>
      <c r="L928" s="3"/>
    </row>
    <row r="929" spans="2:12" ht="45.75" x14ac:dyDescent="0.25">
      <c r="B929" s="1">
        <v>947</v>
      </c>
      <c r="C929" s="3" t="s">
        <v>2242</v>
      </c>
      <c r="D929" s="3" t="s">
        <v>2110</v>
      </c>
      <c r="E929" s="40" t="s">
        <v>2030</v>
      </c>
      <c r="F929" s="4">
        <v>180</v>
      </c>
      <c r="G929" s="5" t="s">
        <v>2124</v>
      </c>
      <c r="H929" s="6" t="s">
        <v>81</v>
      </c>
      <c r="I929" s="12" t="s">
        <v>19</v>
      </c>
      <c r="J929" s="8" t="s">
        <v>7</v>
      </c>
      <c r="K929" s="67" t="s">
        <v>2179</v>
      </c>
      <c r="L929" s="3"/>
    </row>
    <row r="930" spans="2:12" ht="45.75" x14ac:dyDescent="0.25">
      <c r="B930" s="1">
        <v>948</v>
      </c>
      <c r="C930" s="3" t="s">
        <v>2197</v>
      </c>
      <c r="D930" s="3" t="s">
        <v>104</v>
      </c>
      <c r="E930" s="40" t="s">
        <v>917</v>
      </c>
      <c r="F930" s="4">
        <v>1275</v>
      </c>
      <c r="G930" s="5" t="s">
        <v>2124</v>
      </c>
      <c r="H930" s="6" t="s">
        <v>81</v>
      </c>
      <c r="I930" s="12" t="s">
        <v>19</v>
      </c>
      <c r="J930" s="8" t="s">
        <v>7</v>
      </c>
      <c r="K930" s="67" t="s">
        <v>2180</v>
      </c>
      <c r="L930" s="3"/>
    </row>
    <row r="931" spans="2:12" ht="45" x14ac:dyDescent="0.25">
      <c r="B931" s="3">
        <v>949</v>
      </c>
      <c r="C931" s="3" t="s">
        <v>103</v>
      </c>
      <c r="D931" s="3" t="s">
        <v>104</v>
      </c>
      <c r="E931" s="40" t="s">
        <v>2245</v>
      </c>
      <c r="F931" s="4">
        <v>8499</v>
      </c>
      <c r="G931" s="5" t="s">
        <v>2124</v>
      </c>
      <c r="H931" s="6" t="s">
        <v>81</v>
      </c>
      <c r="I931" s="12" t="s">
        <v>19</v>
      </c>
      <c r="J931" s="12" t="s">
        <v>3</v>
      </c>
      <c r="K931" s="67" t="s">
        <v>2181</v>
      </c>
      <c r="L931" s="3"/>
    </row>
    <row r="932" spans="2:12" ht="90" x14ac:dyDescent="0.25">
      <c r="B932" s="3">
        <v>950</v>
      </c>
      <c r="C932" s="3" t="s">
        <v>2198</v>
      </c>
      <c r="D932" s="3" t="s">
        <v>2199</v>
      </c>
      <c r="E932" s="40" t="s">
        <v>2567</v>
      </c>
      <c r="F932" s="4" t="s">
        <v>2568</v>
      </c>
      <c r="G932" s="4" t="s">
        <v>2220</v>
      </c>
      <c r="H932" s="4" t="s">
        <v>81</v>
      </c>
      <c r="I932" s="12" t="s">
        <v>19</v>
      </c>
      <c r="J932" s="10" t="s">
        <v>866</v>
      </c>
      <c r="K932" s="67" t="s">
        <v>2182</v>
      </c>
      <c r="L932" s="3"/>
    </row>
    <row r="933" spans="2:12" ht="101.25" x14ac:dyDescent="0.25">
      <c r="B933" s="1">
        <v>951</v>
      </c>
      <c r="C933" s="3" t="s">
        <v>265</v>
      </c>
      <c r="D933" s="3" t="s">
        <v>2200</v>
      </c>
      <c r="E933" s="40" t="s">
        <v>2474</v>
      </c>
      <c r="F933" s="4">
        <v>13200</v>
      </c>
      <c r="G933" s="4" t="s">
        <v>2220</v>
      </c>
      <c r="H933" s="4" t="s">
        <v>81</v>
      </c>
      <c r="I933" s="12" t="s">
        <v>19</v>
      </c>
      <c r="J933" s="10" t="s">
        <v>284</v>
      </c>
      <c r="K933" s="67" t="s">
        <v>2183</v>
      </c>
      <c r="L933" s="3"/>
    </row>
    <row r="934" spans="2:12" x14ac:dyDescent="0.25">
      <c r="B934" s="1">
        <v>952</v>
      </c>
      <c r="C934" s="3" t="s">
        <v>2201</v>
      </c>
      <c r="D934" s="3" t="s">
        <v>2202</v>
      </c>
      <c r="E934" s="43">
        <v>13980</v>
      </c>
      <c r="F934" s="4">
        <v>13980</v>
      </c>
      <c r="G934" s="4" t="s">
        <v>2221</v>
      </c>
      <c r="H934" s="4" t="s">
        <v>81</v>
      </c>
      <c r="I934" s="12" t="s">
        <v>12</v>
      </c>
      <c r="J934" s="17" t="s">
        <v>2222</v>
      </c>
      <c r="K934" s="67"/>
      <c r="L934" s="3"/>
    </row>
    <row r="935" spans="2:12" ht="45" x14ac:dyDescent="0.25">
      <c r="B935" s="3">
        <v>953</v>
      </c>
      <c r="C935" s="3" t="s">
        <v>986</v>
      </c>
      <c r="D935" s="3" t="s">
        <v>543</v>
      </c>
      <c r="E935" s="40" t="s">
        <v>2075</v>
      </c>
      <c r="F935" s="4" t="s">
        <v>2075</v>
      </c>
      <c r="G935" s="4" t="s">
        <v>2221</v>
      </c>
      <c r="H935" s="4" t="s">
        <v>81</v>
      </c>
      <c r="I935" s="12" t="s">
        <v>19</v>
      </c>
      <c r="J935" s="8" t="s">
        <v>3</v>
      </c>
      <c r="K935" s="67" t="s">
        <v>2184</v>
      </c>
      <c r="L935" s="3"/>
    </row>
    <row r="936" spans="2:12" ht="45" x14ac:dyDescent="0.25">
      <c r="B936" s="3">
        <v>954</v>
      </c>
      <c r="C936" s="3" t="s">
        <v>2203</v>
      </c>
      <c r="D936" s="3" t="s">
        <v>543</v>
      </c>
      <c r="E936" s="40" t="s">
        <v>2253</v>
      </c>
      <c r="F936" s="4">
        <v>1330</v>
      </c>
      <c r="G936" s="4" t="s">
        <v>2223</v>
      </c>
      <c r="H936" s="4" t="s">
        <v>81</v>
      </c>
      <c r="I936" s="12" t="s">
        <v>19</v>
      </c>
      <c r="J936" s="8" t="s">
        <v>3</v>
      </c>
      <c r="K936" s="67" t="s">
        <v>2185</v>
      </c>
      <c r="L936" s="3"/>
    </row>
    <row r="937" spans="2:12" ht="45" x14ac:dyDescent="0.25">
      <c r="B937" s="1">
        <v>955</v>
      </c>
      <c r="C937" s="3" t="s">
        <v>2203</v>
      </c>
      <c r="D937" s="3" t="s">
        <v>83</v>
      </c>
      <c r="E937" s="40" t="s">
        <v>2048</v>
      </c>
      <c r="F937" s="4">
        <v>1330</v>
      </c>
      <c r="G937" s="4" t="s">
        <v>2223</v>
      </c>
      <c r="H937" s="4" t="s">
        <v>81</v>
      </c>
      <c r="I937" s="12" t="s">
        <v>19</v>
      </c>
      <c r="J937" s="8" t="s">
        <v>3</v>
      </c>
      <c r="K937" s="67" t="s">
        <v>2186</v>
      </c>
      <c r="L937" s="3"/>
    </row>
    <row r="938" spans="2:12" ht="45" x14ac:dyDescent="0.25">
      <c r="B938" s="1">
        <v>956</v>
      </c>
      <c r="C938" s="3" t="s">
        <v>274</v>
      </c>
      <c r="D938" s="3" t="s">
        <v>85</v>
      </c>
      <c r="E938" s="40">
        <v>320</v>
      </c>
      <c r="F938" s="4">
        <v>320</v>
      </c>
      <c r="G938" s="4" t="s">
        <v>2223</v>
      </c>
      <c r="H938" s="4" t="s">
        <v>81</v>
      </c>
      <c r="I938" s="12" t="s">
        <v>19</v>
      </c>
      <c r="J938" s="8" t="s">
        <v>3</v>
      </c>
      <c r="K938" s="67" t="s">
        <v>2429</v>
      </c>
      <c r="L938" s="3"/>
    </row>
    <row r="939" spans="2:12" ht="45" x14ac:dyDescent="0.25">
      <c r="B939" s="3">
        <v>957</v>
      </c>
      <c r="C939" s="3" t="s">
        <v>2204</v>
      </c>
      <c r="D939" s="3" t="s">
        <v>85</v>
      </c>
      <c r="E939" s="40">
        <v>236</v>
      </c>
      <c r="F939" s="4">
        <v>236</v>
      </c>
      <c r="G939" s="4" t="s">
        <v>2223</v>
      </c>
      <c r="H939" s="4" t="s">
        <v>81</v>
      </c>
      <c r="I939" s="12" t="s">
        <v>19</v>
      </c>
      <c r="J939" s="8" t="s">
        <v>3</v>
      </c>
      <c r="K939" s="67" t="s">
        <v>2187</v>
      </c>
      <c r="L939" s="3"/>
    </row>
    <row r="940" spans="2:12" ht="22.5" x14ac:dyDescent="0.25">
      <c r="B940" s="3">
        <v>958</v>
      </c>
      <c r="C940" s="3" t="s">
        <v>2205</v>
      </c>
      <c r="D940" s="3" t="s">
        <v>2206</v>
      </c>
      <c r="E940" s="43">
        <v>12999</v>
      </c>
      <c r="F940" s="4">
        <v>12999</v>
      </c>
      <c r="G940" s="4" t="s">
        <v>2223</v>
      </c>
      <c r="H940" s="4" t="s">
        <v>81</v>
      </c>
      <c r="I940" s="12" t="s">
        <v>19</v>
      </c>
      <c r="J940" s="8" t="s">
        <v>2224</v>
      </c>
      <c r="K940" s="67"/>
      <c r="L940" s="3"/>
    </row>
    <row r="941" spans="2:12" ht="45" x14ac:dyDescent="0.25">
      <c r="B941" s="1">
        <v>959</v>
      </c>
      <c r="C941" s="3" t="s">
        <v>2207</v>
      </c>
      <c r="D941" s="3" t="s">
        <v>89</v>
      </c>
      <c r="E941" s="40" t="s">
        <v>2250</v>
      </c>
      <c r="F941" s="4">
        <v>1200</v>
      </c>
      <c r="G941" s="4" t="s">
        <v>2225</v>
      </c>
      <c r="H941" s="4" t="s">
        <v>81</v>
      </c>
      <c r="I941" s="12" t="s">
        <v>19</v>
      </c>
      <c r="J941" s="8" t="s">
        <v>3</v>
      </c>
      <c r="K941" s="67" t="s">
        <v>2188</v>
      </c>
      <c r="L941" s="3"/>
    </row>
    <row r="942" spans="2:12" ht="45" x14ac:dyDescent="0.25">
      <c r="B942" s="1">
        <v>960</v>
      </c>
      <c r="C942" s="3" t="s">
        <v>1229</v>
      </c>
      <c r="D942" s="3" t="s">
        <v>89</v>
      </c>
      <c r="E942" s="40">
        <v>871</v>
      </c>
      <c r="F942" s="4">
        <v>1920</v>
      </c>
      <c r="G942" s="4" t="s">
        <v>2225</v>
      </c>
      <c r="H942" s="4" t="s">
        <v>81</v>
      </c>
      <c r="I942" s="12" t="s">
        <v>19</v>
      </c>
      <c r="J942" s="8" t="s">
        <v>3</v>
      </c>
      <c r="K942" s="67" t="s">
        <v>2189</v>
      </c>
      <c r="L942" s="3"/>
    </row>
    <row r="943" spans="2:12" ht="45" x14ac:dyDescent="0.25">
      <c r="B943" s="3">
        <v>961</v>
      </c>
      <c r="C943" s="3" t="s">
        <v>2208</v>
      </c>
      <c r="D943" s="3" t="s">
        <v>89</v>
      </c>
      <c r="E943" s="40" t="s">
        <v>2430</v>
      </c>
      <c r="F943" s="4">
        <v>4080</v>
      </c>
      <c r="G943" s="4" t="s">
        <v>2225</v>
      </c>
      <c r="H943" s="4" t="s">
        <v>81</v>
      </c>
      <c r="I943" s="12" t="s">
        <v>19</v>
      </c>
      <c r="J943" s="8" t="s">
        <v>3</v>
      </c>
      <c r="K943" s="67" t="s">
        <v>2190</v>
      </c>
      <c r="L943" s="3"/>
    </row>
    <row r="944" spans="2:12" ht="45" x14ac:dyDescent="0.25">
      <c r="B944" s="3">
        <v>962</v>
      </c>
      <c r="C944" s="3" t="s">
        <v>2208</v>
      </c>
      <c r="D944" s="3" t="s">
        <v>85</v>
      </c>
      <c r="E944" s="40" t="s">
        <v>1411</v>
      </c>
      <c r="F944" s="4">
        <v>2400</v>
      </c>
      <c r="G944" s="4" t="s">
        <v>2225</v>
      </c>
      <c r="H944" s="4" t="s">
        <v>81</v>
      </c>
      <c r="I944" s="12" t="s">
        <v>19</v>
      </c>
      <c r="J944" s="8" t="s">
        <v>3</v>
      </c>
      <c r="K944" s="67" t="s">
        <v>2191</v>
      </c>
      <c r="L944" s="3"/>
    </row>
    <row r="945" spans="2:12" ht="45" x14ac:dyDescent="0.25">
      <c r="B945" s="1">
        <v>963</v>
      </c>
      <c r="C945" s="3" t="s">
        <v>392</v>
      </c>
      <c r="D945" s="3" t="s">
        <v>543</v>
      </c>
      <c r="E945" s="40" t="s">
        <v>2448</v>
      </c>
      <c r="F945" s="4">
        <v>3500</v>
      </c>
      <c r="G945" s="4" t="s">
        <v>2225</v>
      </c>
      <c r="H945" s="4" t="s">
        <v>81</v>
      </c>
      <c r="I945" s="12" t="s">
        <v>19</v>
      </c>
      <c r="J945" s="8" t="s">
        <v>3</v>
      </c>
      <c r="K945" s="67" t="s">
        <v>2397</v>
      </c>
      <c r="L945" s="3"/>
    </row>
    <row r="946" spans="2:12" ht="45" x14ac:dyDescent="0.25">
      <c r="B946" s="1">
        <v>964</v>
      </c>
      <c r="C946" s="3" t="s">
        <v>2209</v>
      </c>
      <c r="D946" s="3" t="s">
        <v>85</v>
      </c>
      <c r="E946" s="40">
        <v>320</v>
      </c>
      <c r="F946" s="4">
        <v>320</v>
      </c>
      <c r="G946" s="4" t="s">
        <v>2225</v>
      </c>
      <c r="H946" s="4" t="s">
        <v>81</v>
      </c>
      <c r="I946" s="12" t="s">
        <v>19</v>
      </c>
      <c r="J946" s="8" t="s">
        <v>3</v>
      </c>
      <c r="K946" s="67" t="s">
        <v>2192</v>
      </c>
      <c r="L946" s="3"/>
    </row>
    <row r="947" spans="2:12" ht="45" x14ac:dyDescent="0.25">
      <c r="B947" s="1">
        <v>967</v>
      </c>
      <c r="C947" s="3" t="s">
        <v>542</v>
      </c>
      <c r="D947" s="3" t="s">
        <v>543</v>
      </c>
      <c r="E947" s="40" t="s">
        <v>228</v>
      </c>
      <c r="F947" s="4">
        <v>70</v>
      </c>
      <c r="G947" s="4" t="s">
        <v>2226</v>
      </c>
      <c r="H947" s="4" t="s">
        <v>81</v>
      </c>
      <c r="I947" s="12" t="s">
        <v>19</v>
      </c>
      <c r="J947" s="8" t="s">
        <v>3</v>
      </c>
      <c r="K947" s="67" t="s">
        <v>2255</v>
      </c>
      <c r="L947" s="3"/>
    </row>
    <row r="948" spans="2:12" ht="45" x14ac:dyDescent="0.25">
      <c r="B948" s="1">
        <v>968</v>
      </c>
      <c r="C948" s="3" t="s">
        <v>444</v>
      </c>
      <c r="D948" s="3" t="s">
        <v>543</v>
      </c>
      <c r="E948" s="40" t="s">
        <v>1444</v>
      </c>
      <c r="F948" s="4">
        <v>900</v>
      </c>
      <c r="G948" s="4" t="s">
        <v>2226</v>
      </c>
      <c r="H948" s="4" t="s">
        <v>81</v>
      </c>
      <c r="I948" s="12" t="s">
        <v>19</v>
      </c>
      <c r="J948" s="8" t="s">
        <v>3</v>
      </c>
      <c r="K948" s="67" t="s">
        <v>2193</v>
      </c>
      <c r="L948" s="3"/>
    </row>
    <row r="949" spans="2:12" ht="90" x14ac:dyDescent="0.25">
      <c r="B949" s="3">
        <v>969</v>
      </c>
      <c r="C949" s="3" t="s">
        <v>2210</v>
      </c>
      <c r="D949" s="3" t="s">
        <v>2211</v>
      </c>
      <c r="E949" s="40" t="s">
        <v>2436</v>
      </c>
      <c r="F949" s="4">
        <v>21867</v>
      </c>
      <c r="G949" s="4" t="s">
        <v>2227</v>
      </c>
      <c r="H949" s="4" t="s">
        <v>81</v>
      </c>
      <c r="I949" s="12" t="s">
        <v>19</v>
      </c>
      <c r="J949" s="10" t="s">
        <v>866</v>
      </c>
      <c r="K949" s="67" t="s">
        <v>2194</v>
      </c>
      <c r="L949" s="3"/>
    </row>
    <row r="950" spans="2:12" ht="45.75" x14ac:dyDescent="0.25">
      <c r="B950" s="3">
        <v>970</v>
      </c>
      <c r="C950" s="3" t="s">
        <v>2212</v>
      </c>
      <c r="D950" s="3" t="s">
        <v>2213</v>
      </c>
      <c r="E950" s="40">
        <v>50</v>
      </c>
      <c r="F950" s="4">
        <v>50</v>
      </c>
      <c r="G950" s="4" t="s">
        <v>2228</v>
      </c>
      <c r="H950" s="4" t="s">
        <v>2229</v>
      </c>
      <c r="I950" s="12" t="s">
        <v>19</v>
      </c>
      <c r="J950" s="8" t="s">
        <v>7</v>
      </c>
      <c r="K950" s="67" t="s">
        <v>2195</v>
      </c>
      <c r="L950" s="3"/>
    </row>
    <row r="951" spans="2:12" ht="45" x14ac:dyDescent="0.25">
      <c r="B951" s="1">
        <v>971</v>
      </c>
      <c r="C951" s="3" t="s">
        <v>1523</v>
      </c>
      <c r="D951" s="3" t="s">
        <v>85</v>
      </c>
      <c r="E951" s="40" t="s">
        <v>2236</v>
      </c>
      <c r="F951" s="4">
        <v>1197</v>
      </c>
      <c r="G951" s="4" t="s">
        <v>2228</v>
      </c>
      <c r="H951" s="4" t="s">
        <v>81</v>
      </c>
      <c r="I951" s="12" t="s">
        <v>19</v>
      </c>
      <c r="J951" s="8" t="s">
        <v>3</v>
      </c>
      <c r="K951" s="67" t="s">
        <v>2398</v>
      </c>
      <c r="L951" s="3"/>
    </row>
    <row r="952" spans="2:12" ht="45" x14ac:dyDescent="0.25">
      <c r="B952" s="1">
        <v>972</v>
      </c>
      <c r="C952" s="3" t="s">
        <v>986</v>
      </c>
      <c r="D952" s="3" t="s">
        <v>543</v>
      </c>
      <c r="E952" s="40" t="s">
        <v>2257</v>
      </c>
      <c r="F952" s="4" t="s">
        <v>2258</v>
      </c>
      <c r="G952" s="4" t="s">
        <v>2228</v>
      </c>
      <c r="H952" s="4" t="s">
        <v>81</v>
      </c>
      <c r="I952" s="12" t="s">
        <v>19</v>
      </c>
      <c r="J952" s="8" t="s">
        <v>3</v>
      </c>
      <c r="K952" s="67" t="s">
        <v>2256</v>
      </c>
      <c r="L952" s="3"/>
    </row>
    <row r="953" spans="2:12" ht="45" x14ac:dyDescent="0.25">
      <c r="B953" s="3">
        <v>973</v>
      </c>
      <c r="C953" s="3" t="s">
        <v>262</v>
      </c>
      <c r="D953" s="3" t="s">
        <v>83</v>
      </c>
      <c r="E953" s="40" t="s">
        <v>2064</v>
      </c>
      <c r="F953" s="4">
        <v>1100</v>
      </c>
      <c r="G953" s="4" t="s">
        <v>2228</v>
      </c>
      <c r="H953" s="4" t="s">
        <v>81</v>
      </c>
      <c r="I953" s="12" t="s">
        <v>19</v>
      </c>
      <c r="J953" s="8" t="s">
        <v>3</v>
      </c>
      <c r="K953" s="67" t="s">
        <v>2399</v>
      </c>
      <c r="L953" s="3"/>
    </row>
    <row r="954" spans="2:12" ht="45" x14ac:dyDescent="0.25">
      <c r="B954" s="3">
        <v>974</v>
      </c>
      <c r="C954" s="3" t="s">
        <v>967</v>
      </c>
      <c r="D954" s="3" t="s">
        <v>85</v>
      </c>
      <c r="E954" s="40" t="s">
        <v>2569</v>
      </c>
      <c r="F954" s="4">
        <v>4234.6000000000004</v>
      </c>
      <c r="G954" s="4" t="s">
        <v>2228</v>
      </c>
      <c r="H954" s="4" t="s">
        <v>81</v>
      </c>
      <c r="I954" s="12" t="s">
        <v>19</v>
      </c>
      <c r="J954" s="8" t="s">
        <v>3</v>
      </c>
      <c r="K954" s="67" t="s">
        <v>2400</v>
      </c>
      <c r="L954" s="3"/>
    </row>
    <row r="955" spans="2:12" ht="45" x14ac:dyDescent="0.25">
      <c r="B955" s="1">
        <v>975</v>
      </c>
      <c r="C955" s="3" t="s">
        <v>2214</v>
      </c>
      <c r="D955" s="3" t="s">
        <v>89</v>
      </c>
      <c r="E955" s="40">
        <v>300</v>
      </c>
      <c r="F955" s="4">
        <v>350</v>
      </c>
      <c r="G955" s="4" t="s">
        <v>2228</v>
      </c>
      <c r="H955" s="4" t="s">
        <v>81</v>
      </c>
      <c r="I955" s="12" t="s">
        <v>19</v>
      </c>
      <c r="J955" s="8" t="s">
        <v>3</v>
      </c>
      <c r="K955" s="67" t="s">
        <v>2401</v>
      </c>
      <c r="L955" s="3"/>
    </row>
    <row r="956" spans="2:12" ht="45" x14ac:dyDescent="0.25">
      <c r="B956" s="1">
        <v>976</v>
      </c>
      <c r="C956" s="3" t="s">
        <v>2215</v>
      </c>
      <c r="D956" s="3" t="s">
        <v>89</v>
      </c>
      <c r="E956" s="40" t="s">
        <v>2141</v>
      </c>
      <c r="F956" s="4">
        <v>280</v>
      </c>
      <c r="G956" s="4" t="s">
        <v>2228</v>
      </c>
      <c r="H956" s="4" t="s">
        <v>81</v>
      </c>
      <c r="I956" s="12" t="s">
        <v>19</v>
      </c>
      <c r="J956" s="8" t="s">
        <v>3</v>
      </c>
      <c r="K956" s="67" t="s">
        <v>2402</v>
      </c>
      <c r="L956" s="3"/>
    </row>
    <row r="957" spans="2:12" ht="45" x14ac:dyDescent="0.25">
      <c r="B957" s="3">
        <v>977</v>
      </c>
      <c r="C957" s="3" t="s">
        <v>103</v>
      </c>
      <c r="D957" s="3" t="s">
        <v>104</v>
      </c>
      <c r="E957" s="40" t="s">
        <v>2431</v>
      </c>
      <c r="F957" s="4">
        <v>10745</v>
      </c>
      <c r="G957" s="4" t="s">
        <v>2228</v>
      </c>
      <c r="H957" s="4" t="s">
        <v>81</v>
      </c>
      <c r="I957" s="12" t="s">
        <v>19</v>
      </c>
      <c r="J957" s="8" t="s">
        <v>3</v>
      </c>
      <c r="K957" s="67" t="s">
        <v>2403</v>
      </c>
      <c r="L957" s="3"/>
    </row>
    <row r="958" spans="2:12" ht="101.25" x14ac:dyDescent="0.25">
      <c r="B958" s="3">
        <v>978</v>
      </c>
      <c r="C958" s="3" t="s">
        <v>639</v>
      </c>
      <c r="D958" s="3" t="s">
        <v>2216</v>
      </c>
      <c r="E958" s="40">
        <f>208476+932690+165084</f>
        <v>1306250</v>
      </c>
      <c r="F958" s="4">
        <v>1306250</v>
      </c>
      <c r="G958" s="4" t="s">
        <v>2230</v>
      </c>
      <c r="H958" s="4" t="s">
        <v>2231</v>
      </c>
      <c r="I958" s="12" t="s">
        <v>19</v>
      </c>
      <c r="J958" s="10" t="s">
        <v>566</v>
      </c>
      <c r="K958" s="67" t="s">
        <v>2196</v>
      </c>
      <c r="L958" s="3"/>
    </row>
    <row r="959" spans="2:12" ht="45" x14ac:dyDescent="0.25">
      <c r="B959" s="1">
        <v>979</v>
      </c>
      <c r="C959" s="3" t="s">
        <v>986</v>
      </c>
      <c r="D959" s="3" t="s">
        <v>543</v>
      </c>
      <c r="E959" s="40" t="s">
        <v>2068</v>
      </c>
      <c r="F959" s="4">
        <v>1700</v>
      </c>
      <c r="G959" s="4" t="s">
        <v>2232</v>
      </c>
      <c r="H959" s="4" t="s">
        <v>81</v>
      </c>
      <c r="I959" s="12" t="s">
        <v>19</v>
      </c>
      <c r="J959" s="8" t="s">
        <v>3</v>
      </c>
      <c r="K959" s="67" t="s">
        <v>2404</v>
      </c>
      <c r="L959" s="3"/>
    </row>
    <row r="960" spans="2:12" ht="45" x14ac:dyDescent="0.25">
      <c r="B960" s="1">
        <v>980</v>
      </c>
      <c r="C960" s="3" t="s">
        <v>2217</v>
      </c>
      <c r="D960" s="3" t="s">
        <v>83</v>
      </c>
      <c r="E960" s="40" t="s">
        <v>738</v>
      </c>
      <c r="F960" s="4">
        <v>1875</v>
      </c>
      <c r="G960" s="4" t="s">
        <v>2232</v>
      </c>
      <c r="H960" s="4" t="s">
        <v>81</v>
      </c>
      <c r="I960" s="12" t="s">
        <v>19</v>
      </c>
      <c r="J960" s="8" t="s">
        <v>3</v>
      </c>
      <c r="K960" s="67" t="s">
        <v>2405</v>
      </c>
      <c r="L960" s="3"/>
    </row>
    <row r="961" spans="2:12" ht="45" x14ac:dyDescent="0.25">
      <c r="B961" s="3">
        <v>981</v>
      </c>
      <c r="C961" s="3" t="s">
        <v>645</v>
      </c>
      <c r="D961" s="3" t="s">
        <v>89</v>
      </c>
      <c r="E961" s="40">
        <v>148.5</v>
      </c>
      <c r="F961" s="4">
        <v>180</v>
      </c>
      <c r="G961" s="4" t="s">
        <v>2232</v>
      </c>
      <c r="H961" s="4" t="s">
        <v>81</v>
      </c>
      <c r="I961" s="12" t="s">
        <v>19</v>
      </c>
      <c r="J961" s="8" t="s">
        <v>3</v>
      </c>
      <c r="K961" s="67" t="s">
        <v>2288</v>
      </c>
      <c r="L961" s="3"/>
    </row>
    <row r="962" spans="2:12" ht="45" x14ac:dyDescent="0.25">
      <c r="B962" s="3">
        <v>982</v>
      </c>
      <c r="C962" s="3" t="s">
        <v>497</v>
      </c>
      <c r="D962" s="3" t="s">
        <v>89</v>
      </c>
      <c r="E962" s="40" t="s">
        <v>2461</v>
      </c>
      <c r="F962" s="4">
        <v>180</v>
      </c>
      <c r="G962" s="4" t="s">
        <v>2232</v>
      </c>
      <c r="H962" s="4" t="s">
        <v>81</v>
      </c>
      <c r="I962" s="12" t="s">
        <v>19</v>
      </c>
      <c r="J962" s="8" t="s">
        <v>3</v>
      </c>
      <c r="K962" s="67" t="s">
        <v>2406</v>
      </c>
      <c r="L962" s="3"/>
    </row>
    <row r="963" spans="2:12" ht="45" x14ac:dyDescent="0.25">
      <c r="B963" s="1">
        <v>983</v>
      </c>
      <c r="C963" s="3" t="s">
        <v>2218</v>
      </c>
      <c r="D963" s="3" t="s">
        <v>89</v>
      </c>
      <c r="E963" s="40">
        <v>264.55</v>
      </c>
      <c r="F963" s="4">
        <v>440</v>
      </c>
      <c r="G963" s="4" t="s">
        <v>2232</v>
      </c>
      <c r="H963" s="4" t="s">
        <v>81</v>
      </c>
      <c r="I963" s="12" t="s">
        <v>19</v>
      </c>
      <c r="J963" s="8" t="s">
        <v>3</v>
      </c>
      <c r="K963" s="67" t="s">
        <v>2407</v>
      </c>
      <c r="L963" s="3"/>
    </row>
    <row r="964" spans="2:12" ht="45" x14ac:dyDescent="0.25">
      <c r="B964" s="1">
        <v>984</v>
      </c>
      <c r="C964" s="3" t="s">
        <v>2218</v>
      </c>
      <c r="D964" s="3" t="s">
        <v>85</v>
      </c>
      <c r="E964" s="40">
        <v>400</v>
      </c>
      <c r="F964" s="4">
        <v>400</v>
      </c>
      <c r="G964" s="4" t="s">
        <v>2232</v>
      </c>
      <c r="H964" s="4" t="s">
        <v>81</v>
      </c>
      <c r="I964" s="12" t="s">
        <v>19</v>
      </c>
      <c r="J964" s="8" t="s">
        <v>3</v>
      </c>
      <c r="K964" s="67" t="s">
        <v>2408</v>
      </c>
      <c r="L964" s="3"/>
    </row>
    <row r="965" spans="2:12" ht="45" x14ac:dyDescent="0.25">
      <c r="B965" s="3">
        <v>985</v>
      </c>
      <c r="C965" s="3" t="s">
        <v>986</v>
      </c>
      <c r="D965" s="3" t="s">
        <v>543</v>
      </c>
      <c r="E965" s="40" t="s">
        <v>2446</v>
      </c>
      <c r="F965" s="4">
        <v>1310</v>
      </c>
      <c r="G965" s="4" t="s">
        <v>2232</v>
      </c>
      <c r="H965" s="4" t="s">
        <v>81</v>
      </c>
      <c r="I965" s="12" t="s">
        <v>19</v>
      </c>
      <c r="J965" s="8" t="s">
        <v>3</v>
      </c>
      <c r="K965" s="67" t="s">
        <v>2409</v>
      </c>
      <c r="L965" s="3"/>
    </row>
    <row r="966" spans="2:12" ht="45" x14ac:dyDescent="0.25">
      <c r="B966" s="3">
        <v>986</v>
      </c>
      <c r="C966" s="3" t="s">
        <v>1919</v>
      </c>
      <c r="D966" s="3" t="s">
        <v>85</v>
      </c>
      <c r="E966" s="40">
        <v>450</v>
      </c>
      <c r="F966" s="4">
        <v>450</v>
      </c>
      <c r="G966" s="4" t="s">
        <v>2232</v>
      </c>
      <c r="H966" s="4" t="s">
        <v>81</v>
      </c>
      <c r="I966" s="12" t="s">
        <v>19</v>
      </c>
      <c r="J966" s="8" t="s">
        <v>3</v>
      </c>
      <c r="K966" s="67" t="s">
        <v>2410</v>
      </c>
      <c r="L966" s="3"/>
    </row>
    <row r="967" spans="2:12" ht="45" x14ac:dyDescent="0.25">
      <c r="B967" s="1">
        <v>987</v>
      </c>
      <c r="C967" s="3" t="s">
        <v>1204</v>
      </c>
      <c r="D967" s="3" t="s">
        <v>89</v>
      </c>
      <c r="E967" s="40">
        <v>100</v>
      </c>
      <c r="F967" s="4">
        <v>100</v>
      </c>
      <c r="G967" s="4" t="s">
        <v>2232</v>
      </c>
      <c r="H967" s="4" t="s">
        <v>81</v>
      </c>
      <c r="I967" s="12" t="s">
        <v>19</v>
      </c>
      <c r="J967" s="8" t="s">
        <v>3</v>
      </c>
      <c r="K967" s="67" t="s">
        <v>2411</v>
      </c>
      <c r="L967" s="3"/>
    </row>
    <row r="968" spans="2:12" ht="45" x14ac:dyDescent="0.25">
      <c r="B968" s="1">
        <v>988</v>
      </c>
      <c r="C968" s="3" t="s">
        <v>262</v>
      </c>
      <c r="D968" s="3" t="s">
        <v>83</v>
      </c>
      <c r="E968" s="40" t="s">
        <v>2447</v>
      </c>
      <c r="F968" s="4">
        <v>1112.5</v>
      </c>
      <c r="G968" s="4" t="s">
        <v>2232</v>
      </c>
      <c r="H968" s="4" t="s">
        <v>81</v>
      </c>
      <c r="I968" s="12" t="s">
        <v>19</v>
      </c>
      <c r="J968" s="8" t="s">
        <v>3</v>
      </c>
      <c r="K968" s="67" t="s">
        <v>2412</v>
      </c>
      <c r="L968" s="3"/>
    </row>
    <row r="969" spans="2:12" ht="45" x14ac:dyDescent="0.25">
      <c r="B969" s="3">
        <v>989</v>
      </c>
      <c r="C969" s="3" t="s">
        <v>2219</v>
      </c>
      <c r="D969" s="3" t="s">
        <v>89</v>
      </c>
      <c r="E969" s="40" t="s">
        <v>1771</v>
      </c>
      <c r="F969" s="4">
        <v>100</v>
      </c>
      <c r="G969" s="4" t="s">
        <v>2232</v>
      </c>
      <c r="H969" s="4" t="s">
        <v>81</v>
      </c>
      <c r="I969" s="12" t="s">
        <v>19</v>
      </c>
      <c r="J969" s="8" t="s">
        <v>3</v>
      </c>
      <c r="K969" s="67" t="s">
        <v>2413</v>
      </c>
    </row>
    <row r="970" spans="2:12" ht="45" x14ac:dyDescent="0.25">
      <c r="B970" s="3">
        <v>990</v>
      </c>
      <c r="C970" s="3" t="s">
        <v>103</v>
      </c>
      <c r="D970" s="3" t="s">
        <v>104</v>
      </c>
      <c r="E970" s="40" t="s">
        <v>2450</v>
      </c>
      <c r="F970" s="4">
        <v>7840</v>
      </c>
      <c r="G970" s="4" t="s">
        <v>2232</v>
      </c>
      <c r="H970" s="4" t="s">
        <v>81</v>
      </c>
      <c r="I970" s="3" t="s">
        <v>19</v>
      </c>
      <c r="J970" s="72" t="s">
        <v>3</v>
      </c>
      <c r="K970" s="73" t="s">
        <v>2414</v>
      </c>
    </row>
    <row r="971" spans="2:12" ht="45" x14ac:dyDescent="0.25">
      <c r="B971" s="1">
        <v>991</v>
      </c>
      <c r="C971" s="3" t="s">
        <v>1499</v>
      </c>
      <c r="D971" s="3" t="s">
        <v>543</v>
      </c>
      <c r="E971" s="40" t="s">
        <v>2632</v>
      </c>
      <c r="F971" s="4">
        <v>540</v>
      </c>
      <c r="G971" s="4" t="s">
        <v>2232</v>
      </c>
      <c r="H971" s="4" t="s">
        <v>81</v>
      </c>
      <c r="I971" s="12" t="s">
        <v>19</v>
      </c>
      <c r="J971" s="8" t="s">
        <v>3</v>
      </c>
      <c r="K971" s="67" t="s">
        <v>2274</v>
      </c>
    </row>
    <row r="972" spans="2:12" ht="101.25" x14ac:dyDescent="0.25">
      <c r="B972" s="1">
        <v>992</v>
      </c>
      <c r="C972" s="3" t="s">
        <v>549</v>
      </c>
      <c r="D972" s="3" t="s">
        <v>2259</v>
      </c>
      <c r="E972" s="40">
        <f>300000+1424250</f>
        <v>1724250</v>
      </c>
      <c r="F972" s="4">
        <v>1724250</v>
      </c>
      <c r="G972" s="4" t="s">
        <v>2232</v>
      </c>
      <c r="H972" s="4" t="s">
        <v>2231</v>
      </c>
      <c r="I972" s="12" t="s">
        <v>19</v>
      </c>
      <c r="J972" s="10" t="s">
        <v>566</v>
      </c>
      <c r="K972" s="67" t="s">
        <v>2275</v>
      </c>
    </row>
    <row r="973" spans="2:12" ht="101.25" x14ac:dyDescent="0.25">
      <c r="B973" s="3">
        <v>993</v>
      </c>
      <c r="C973" s="3" t="s">
        <v>552</v>
      </c>
      <c r="D973" s="3" t="s">
        <v>2260</v>
      </c>
      <c r="E973" s="40">
        <f>658350+889864.56+646285.44</f>
        <v>2194500</v>
      </c>
      <c r="F973" s="4">
        <v>2194500</v>
      </c>
      <c r="G973" s="4" t="s">
        <v>2232</v>
      </c>
      <c r="H973" s="4" t="s">
        <v>2231</v>
      </c>
      <c r="I973" s="12" t="s">
        <v>19</v>
      </c>
      <c r="J973" s="10" t="s">
        <v>566</v>
      </c>
      <c r="K973" s="67" t="s">
        <v>2276</v>
      </c>
    </row>
    <row r="974" spans="2:12" ht="45" x14ac:dyDescent="0.25">
      <c r="B974" s="3">
        <v>994</v>
      </c>
      <c r="C974" s="3" t="s">
        <v>1919</v>
      </c>
      <c r="D974" s="3" t="s">
        <v>89</v>
      </c>
      <c r="E974" s="40" t="s">
        <v>2544</v>
      </c>
      <c r="F974" s="4">
        <v>800</v>
      </c>
      <c r="G974" s="4" t="s">
        <v>2232</v>
      </c>
      <c r="H974" s="4" t="s">
        <v>81</v>
      </c>
      <c r="I974" s="12" t="s">
        <v>19</v>
      </c>
      <c r="J974" s="8" t="s">
        <v>3</v>
      </c>
      <c r="K974" s="67" t="s">
        <v>2415</v>
      </c>
    </row>
    <row r="975" spans="2:12" ht="45" x14ac:dyDescent="0.25">
      <c r="B975" s="1">
        <v>995</v>
      </c>
      <c r="C975" s="3" t="s">
        <v>2215</v>
      </c>
      <c r="D975" s="3" t="s">
        <v>89</v>
      </c>
      <c r="E975" s="40" t="s">
        <v>2438</v>
      </c>
      <c r="F975" s="4">
        <v>960</v>
      </c>
      <c r="G975" s="4" t="s">
        <v>2232</v>
      </c>
      <c r="H975" s="4" t="s">
        <v>81</v>
      </c>
      <c r="I975" s="12" t="s">
        <v>19</v>
      </c>
      <c r="J975" s="8" t="s">
        <v>3</v>
      </c>
      <c r="K975" s="67" t="s">
        <v>2416</v>
      </c>
    </row>
    <row r="976" spans="2:12" ht="45" x14ac:dyDescent="0.25">
      <c r="B976" s="1">
        <v>996</v>
      </c>
      <c r="C976" s="3" t="s">
        <v>2261</v>
      </c>
      <c r="D976" s="3" t="s">
        <v>83</v>
      </c>
      <c r="E976" s="40" t="s">
        <v>2440</v>
      </c>
      <c r="F976" s="4">
        <v>2232.5</v>
      </c>
      <c r="G976" s="4" t="s">
        <v>2232</v>
      </c>
      <c r="H976" s="4" t="s">
        <v>81</v>
      </c>
      <c r="I976" s="12" t="s">
        <v>19</v>
      </c>
      <c r="J976" s="8" t="s">
        <v>3</v>
      </c>
      <c r="K976" s="67" t="s">
        <v>2417</v>
      </c>
    </row>
    <row r="977" spans="2:11" ht="45" x14ac:dyDescent="0.25">
      <c r="B977" s="3">
        <v>997</v>
      </c>
      <c r="C977" s="1" t="s">
        <v>1506</v>
      </c>
      <c r="D977" s="1" t="s">
        <v>85</v>
      </c>
      <c r="E977" s="40" t="s">
        <v>2547</v>
      </c>
      <c r="F977" s="4">
        <v>6743.36</v>
      </c>
      <c r="G977" s="4" t="s">
        <v>2232</v>
      </c>
      <c r="H977" s="4" t="s">
        <v>81</v>
      </c>
      <c r="I977" s="12" t="s">
        <v>19</v>
      </c>
      <c r="J977" s="8" t="s">
        <v>3</v>
      </c>
      <c r="K977" s="67" t="s">
        <v>2418</v>
      </c>
    </row>
    <row r="978" spans="2:11" ht="45" x14ac:dyDescent="0.25">
      <c r="B978" s="3">
        <v>998</v>
      </c>
      <c r="C978" s="1" t="s">
        <v>392</v>
      </c>
      <c r="D978" s="1" t="s">
        <v>543</v>
      </c>
      <c r="E978" s="40" t="s">
        <v>2439</v>
      </c>
      <c r="F978" s="4">
        <v>3200</v>
      </c>
      <c r="G978" s="4" t="s">
        <v>2232</v>
      </c>
      <c r="H978" s="4" t="s">
        <v>81</v>
      </c>
      <c r="I978" s="12" t="s">
        <v>19</v>
      </c>
      <c r="J978" s="8" t="s">
        <v>3</v>
      </c>
      <c r="K978" s="67" t="s">
        <v>2419</v>
      </c>
    </row>
    <row r="979" spans="2:11" ht="56.25" customHeight="1" x14ac:dyDescent="0.25">
      <c r="B979" s="1">
        <v>999</v>
      </c>
      <c r="C979" s="1" t="s">
        <v>494</v>
      </c>
      <c r="D979" s="1" t="s">
        <v>2262</v>
      </c>
      <c r="E979" s="40" t="s">
        <v>2287</v>
      </c>
      <c r="F979" s="4">
        <v>45</v>
      </c>
      <c r="G979" s="4" t="s">
        <v>2232</v>
      </c>
      <c r="H979" s="4" t="s">
        <v>81</v>
      </c>
      <c r="I979" s="12" t="s">
        <v>19</v>
      </c>
      <c r="J979" s="10" t="s">
        <v>11</v>
      </c>
      <c r="K979" s="67" t="s">
        <v>2277</v>
      </c>
    </row>
    <row r="980" spans="2:11" ht="45" x14ac:dyDescent="0.25">
      <c r="B980" s="1">
        <v>1000</v>
      </c>
      <c r="C980" s="1" t="s">
        <v>2263</v>
      </c>
      <c r="D980" s="1" t="s">
        <v>85</v>
      </c>
      <c r="E980" s="40" t="s">
        <v>2459</v>
      </c>
      <c r="F980" s="4">
        <v>365.13</v>
      </c>
      <c r="G980" s="4" t="s">
        <v>2278</v>
      </c>
      <c r="H980" s="4" t="s">
        <v>81</v>
      </c>
      <c r="I980" s="12" t="s">
        <v>19</v>
      </c>
      <c r="J980" s="8" t="s">
        <v>3</v>
      </c>
      <c r="K980" s="67" t="s">
        <v>2420</v>
      </c>
    </row>
    <row r="981" spans="2:11" ht="45" x14ac:dyDescent="0.25">
      <c r="B981" s="3">
        <v>1001</v>
      </c>
      <c r="C981" s="1" t="s">
        <v>986</v>
      </c>
      <c r="D981" s="1" t="s">
        <v>543</v>
      </c>
      <c r="E981" s="40" t="s">
        <v>2444</v>
      </c>
      <c r="F981" s="4">
        <v>1050</v>
      </c>
      <c r="G981" s="4" t="s">
        <v>2278</v>
      </c>
      <c r="H981" s="4" t="s">
        <v>81</v>
      </c>
      <c r="I981" s="12" t="s">
        <v>19</v>
      </c>
      <c r="J981" s="8" t="s">
        <v>3</v>
      </c>
      <c r="K981" s="67" t="s">
        <v>2421</v>
      </c>
    </row>
    <row r="982" spans="2:11" ht="45" x14ac:dyDescent="0.25">
      <c r="B982" s="3">
        <v>1002</v>
      </c>
      <c r="C982" s="1" t="s">
        <v>2263</v>
      </c>
      <c r="D982" s="1" t="s">
        <v>297</v>
      </c>
      <c r="E982" s="40" t="s">
        <v>2460</v>
      </c>
      <c r="F982" s="4">
        <v>400</v>
      </c>
      <c r="G982" s="4" t="s">
        <v>2278</v>
      </c>
      <c r="H982" s="4" t="s">
        <v>81</v>
      </c>
      <c r="I982" s="12" t="s">
        <v>19</v>
      </c>
      <c r="J982" s="8" t="s">
        <v>3</v>
      </c>
      <c r="K982" s="67" t="s">
        <v>2422</v>
      </c>
    </row>
    <row r="983" spans="2:11" ht="45" x14ac:dyDescent="0.25">
      <c r="B983" s="1">
        <v>1003</v>
      </c>
      <c r="C983" s="1" t="s">
        <v>787</v>
      </c>
      <c r="D983" s="1" t="s">
        <v>89</v>
      </c>
      <c r="E983" s="40">
        <v>480</v>
      </c>
      <c r="F983" s="4">
        <v>500</v>
      </c>
      <c r="G983" s="4" t="s">
        <v>2278</v>
      </c>
      <c r="H983" s="4" t="s">
        <v>81</v>
      </c>
      <c r="I983" s="12" t="s">
        <v>19</v>
      </c>
      <c r="J983" s="8" t="s">
        <v>3</v>
      </c>
      <c r="K983" s="67" t="s">
        <v>2423</v>
      </c>
    </row>
    <row r="984" spans="2:11" ht="45" x14ac:dyDescent="0.25">
      <c r="B984" s="1">
        <v>1004</v>
      </c>
      <c r="C984" s="1" t="s">
        <v>393</v>
      </c>
      <c r="D984" s="1" t="s">
        <v>83</v>
      </c>
      <c r="E984" s="40" t="s">
        <v>2442</v>
      </c>
      <c r="F984" s="4">
        <v>1062.5</v>
      </c>
      <c r="G984" s="4" t="s">
        <v>2278</v>
      </c>
      <c r="H984" s="4" t="s">
        <v>81</v>
      </c>
      <c r="I984" s="12" t="s">
        <v>19</v>
      </c>
      <c r="J984" s="8" t="s">
        <v>3</v>
      </c>
      <c r="K984" s="67" t="s">
        <v>2424</v>
      </c>
    </row>
    <row r="985" spans="2:11" ht="45" x14ac:dyDescent="0.25">
      <c r="B985" s="3">
        <v>1005</v>
      </c>
      <c r="C985" s="1" t="s">
        <v>603</v>
      </c>
      <c r="D985" s="1" t="s">
        <v>85</v>
      </c>
      <c r="E985" s="40" t="s">
        <v>2570</v>
      </c>
      <c r="F985" s="4">
        <v>3851.7</v>
      </c>
      <c r="G985" s="4" t="s">
        <v>2278</v>
      </c>
      <c r="H985" s="4" t="s">
        <v>81</v>
      </c>
      <c r="I985" s="12" t="s">
        <v>19</v>
      </c>
      <c r="J985" s="8" t="s">
        <v>3</v>
      </c>
      <c r="K985" s="67" t="s">
        <v>2425</v>
      </c>
    </row>
    <row r="986" spans="2:11" ht="45" x14ac:dyDescent="0.25">
      <c r="B986" s="3">
        <v>1006</v>
      </c>
      <c r="C986" s="1" t="s">
        <v>603</v>
      </c>
      <c r="D986" s="1" t="s">
        <v>89</v>
      </c>
      <c r="E986" s="40">
        <v>583.04999999999995</v>
      </c>
      <c r="F986" s="4">
        <v>600</v>
      </c>
      <c r="G986" s="4" t="s">
        <v>2278</v>
      </c>
      <c r="H986" s="4" t="s">
        <v>81</v>
      </c>
      <c r="I986" s="12" t="s">
        <v>19</v>
      </c>
      <c r="J986" s="8" t="s">
        <v>3</v>
      </c>
      <c r="K986" s="67" t="s">
        <v>2426</v>
      </c>
    </row>
    <row r="987" spans="2:11" ht="101.25" customHeight="1" x14ac:dyDescent="0.25">
      <c r="B987" s="1">
        <v>1007</v>
      </c>
      <c r="C987" s="1" t="s">
        <v>2264</v>
      </c>
      <c r="D987" s="1" t="s">
        <v>2265</v>
      </c>
      <c r="E987" s="40">
        <f>25424.01+28222.8</f>
        <v>53646.81</v>
      </c>
      <c r="F987" s="4">
        <v>53646.81</v>
      </c>
      <c r="G987" s="4" t="s">
        <v>2278</v>
      </c>
      <c r="H987" s="4" t="s">
        <v>81</v>
      </c>
      <c r="I987" s="12" t="s">
        <v>19</v>
      </c>
      <c r="J987" s="10" t="s">
        <v>866</v>
      </c>
      <c r="K987" s="67" t="s">
        <v>2279</v>
      </c>
    </row>
    <row r="988" spans="2:11" ht="45.75" x14ac:dyDescent="0.25">
      <c r="B988" s="1">
        <v>1008</v>
      </c>
      <c r="C988" s="1" t="s">
        <v>271</v>
      </c>
      <c r="D988" s="1" t="s">
        <v>2266</v>
      </c>
      <c r="E988" s="40" t="s">
        <v>2473</v>
      </c>
      <c r="F988" s="4">
        <v>2950</v>
      </c>
      <c r="G988" s="4" t="s">
        <v>2278</v>
      </c>
      <c r="H988" s="4" t="s">
        <v>81</v>
      </c>
      <c r="I988" s="12" t="s">
        <v>19</v>
      </c>
      <c r="J988" s="8" t="s">
        <v>7</v>
      </c>
      <c r="K988" s="67" t="s">
        <v>2280</v>
      </c>
    </row>
    <row r="989" spans="2:11" ht="45" x14ac:dyDescent="0.25">
      <c r="B989" s="3">
        <v>1009</v>
      </c>
      <c r="C989" s="1" t="s">
        <v>623</v>
      </c>
      <c r="D989" s="1" t="s">
        <v>104</v>
      </c>
      <c r="E989" s="40" t="s">
        <v>2441</v>
      </c>
      <c r="F989" s="4">
        <v>1314</v>
      </c>
      <c r="G989" s="4" t="s">
        <v>2278</v>
      </c>
      <c r="H989" s="4" t="s">
        <v>81</v>
      </c>
      <c r="I989" s="12" t="s">
        <v>19</v>
      </c>
      <c r="J989" s="8" t="s">
        <v>3</v>
      </c>
      <c r="K989" s="67" t="s">
        <v>2395</v>
      </c>
    </row>
    <row r="990" spans="2:11" ht="45.75" x14ac:dyDescent="0.25">
      <c r="B990" s="3">
        <v>1010</v>
      </c>
      <c r="C990" s="1" t="s">
        <v>2267</v>
      </c>
      <c r="D990" s="1" t="s">
        <v>2268</v>
      </c>
      <c r="E990" s="40">
        <v>125</v>
      </c>
      <c r="F990" s="4">
        <v>125</v>
      </c>
      <c r="G990" s="4" t="s">
        <v>2278</v>
      </c>
      <c r="H990" s="4" t="s">
        <v>81</v>
      </c>
      <c r="I990" s="12" t="s">
        <v>19</v>
      </c>
      <c r="J990" s="8" t="s">
        <v>7</v>
      </c>
      <c r="K990" s="67" t="s">
        <v>2396</v>
      </c>
    </row>
    <row r="991" spans="2:11" ht="45" x14ac:dyDescent="0.25">
      <c r="B991" s="3" t="s">
        <v>2391</v>
      </c>
      <c r="C991" s="1" t="s">
        <v>623</v>
      </c>
      <c r="D991" s="1" t="s">
        <v>104</v>
      </c>
      <c r="E991" s="40" t="s">
        <v>2488</v>
      </c>
      <c r="F991" s="4">
        <v>4665</v>
      </c>
      <c r="G991" s="4" t="s">
        <v>2392</v>
      </c>
      <c r="H991" s="4" t="s">
        <v>81</v>
      </c>
      <c r="I991" s="12" t="s">
        <v>19</v>
      </c>
      <c r="J991" s="8" t="s">
        <v>3</v>
      </c>
      <c r="K991" s="67" t="s">
        <v>2393</v>
      </c>
    </row>
    <row r="992" spans="2:11" ht="45" x14ac:dyDescent="0.25">
      <c r="B992" s="3">
        <v>9</v>
      </c>
      <c r="C992" s="1" t="s">
        <v>167</v>
      </c>
      <c r="D992" s="1" t="s">
        <v>89</v>
      </c>
      <c r="E992" s="40" t="s">
        <v>2443</v>
      </c>
      <c r="F992" s="4">
        <v>885.5</v>
      </c>
      <c r="G992" s="4" t="s">
        <v>2278</v>
      </c>
      <c r="H992" s="4" t="s">
        <v>81</v>
      </c>
      <c r="I992" s="12" t="s">
        <v>19</v>
      </c>
      <c r="J992" s="8" t="s">
        <v>3</v>
      </c>
      <c r="K992" s="67" t="s">
        <v>2394</v>
      </c>
    </row>
    <row r="993" spans="2:11" ht="56.25" customHeight="1" x14ac:dyDescent="0.25">
      <c r="B993" s="1">
        <v>1011</v>
      </c>
      <c r="C993" s="1" t="s">
        <v>494</v>
      </c>
      <c r="D993" s="1" t="s">
        <v>607</v>
      </c>
      <c r="E993" s="40" t="s">
        <v>1803</v>
      </c>
      <c r="F993" s="4">
        <v>520</v>
      </c>
      <c r="G993" s="4" t="s">
        <v>2281</v>
      </c>
      <c r="H993" s="4" t="s">
        <v>81</v>
      </c>
      <c r="I993" s="12" t="s">
        <v>8</v>
      </c>
      <c r="J993" s="38"/>
      <c r="K993" s="67" t="s">
        <v>2437</v>
      </c>
    </row>
    <row r="994" spans="2:11" ht="45" x14ac:dyDescent="0.25">
      <c r="B994" s="1">
        <v>1012</v>
      </c>
      <c r="C994" s="1" t="s">
        <v>1506</v>
      </c>
      <c r="D994" s="1" t="s">
        <v>85</v>
      </c>
      <c r="E994" s="40" t="s">
        <v>2550</v>
      </c>
      <c r="F994" s="4">
        <v>1236.56</v>
      </c>
      <c r="G994" s="4" t="s">
        <v>2281</v>
      </c>
      <c r="H994" s="4" t="s">
        <v>81</v>
      </c>
      <c r="I994" s="4" t="s">
        <v>19</v>
      </c>
      <c r="J994" s="8" t="s">
        <v>3</v>
      </c>
      <c r="K994" s="67" t="s">
        <v>2432</v>
      </c>
    </row>
    <row r="995" spans="2:11" ht="45" x14ac:dyDescent="0.25">
      <c r="B995" s="3">
        <v>1013</v>
      </c>
      <c r="C995" s="1" t="s">
        <v>623</v>
      </c>
      <c r="D995" s="1" t="s">
        <v>104</v>
      </c>
      <c r="E995" s="40" t="s">
        <v>2457</v>
      </c>
      <c r="F995" s="4">
        <v>4601</v>
      </c>
      <c r="G995" s="4" t="s">
        <v>2281</v>
      </c>
      <c r="H995" s="4" t="s">
        <v>81</v>
      </c>
      <c r="I995" s="4" t="s">
        <v>19</v>
      </c>
      <c r="J995" s="8" t="s">
        <v>3</v>
      </c>
      <c r="K995" s="67" t="s">
        <v>2433</v>
      </c>
    </row>
    <row r="996" spans="2:11" ht="45" x14ac:dyDescent="0.25">
      <c r="B996" s="3">
        <v>1014</v>
      </c>
      <c r="C996" s="1" t="s">
        <v>986</v>
      </c>
      <c r="D996" s="1" t="s">
        <v>543</v>
      </c>
      <c r="E996" s="40">
        <v>450</v>
      </c>
      <c r="F996" s="4">
        <v>450</v>
      </c>
      <c r="G996" s="4" t="s">
        <v>2282</v>
      </c>
      <c r="H996" s="4" t="s">
        <v>81</v>
      </c>
      <c r="I996" s="4" t="s">
        <v>19</v>
      </c>
      <c r="J996" s="8" t="s">
        <v>3</v>
      </c>
      <c r="K996" s="67" t="s">
        <v>2434</v>
      </c>
    </row>
    <row r="997" spans="2:11" ht="45" x14ac:dyDescent="0.25">
      <c r="B997" s="1">
        <v>1015</v>
      </c>
      <c r="C997" s="1" t="s">
        <v>789</v>
      </c>
      <c r="D997" s="1" t="s">
        <v>83</v>
      </c>
      <c r="E997" s="40" t="s">
        <v>2449</v>
      </c>
      <c r="F997" s="4">
        <v>212.5</v>
      </c>
      <c r="G997" s="4" t="s">
        <v>2282</v>
      </c>
      <c r="H997" s="4" t="s">
        <v>81</v>
      </c>
      <c r="I997" s="4" t="s">
        <v>19</v>
      </c>
      <c r="J997" s="8" t="s">
        <v>3</v>
      </c>
      <c r="K997" s="67" t="s">
        <v>2435</v>
      </c>
    </row>
    <row r="998" spans="2:11" ht="101.25" x14ac:dyDescent="0.25">
      <c r="B998" s="3">
        <v>1017</v>
      </c>
      <c r="C998" s="1" t="s">
        <v>2269</v>
      </c>
      <c r="D998" s="1" t="s">
        <v>2270</v>
      </c>
      <c r="E998" s="40">
        <f>42152.9+57329.36+5900</f>
        <v>105382.26000000001</v>
      </c>
      <c r="F998" s="4">
        <v>105382.26</v>
      </c>
      <c r="G998" s="4" t="s">
        <v>2283</v>
      </c>
      <c r="H998" s="4" t="s">
        <v>2284</v>
      </c>
      <c r="I998" s="4" t="s">
        <v>19</v>
      </c>
      <c r="J998" s="10" t="s">
        <v>566</v>
      </c>
      <c r="K998" s="67" t="s">
        <v>2453</v>
      </c>
    </row>
    <row r="999" spans="2:11" ht="90" x14ac:dyDescent="0.25">
      <c r="B999" s="3">
        <v>1018</v>
      </c>
      <c r="C999" s="1" t="s">
        <v>2271</v>
      </c>
      <c r="D999" s="1" t="s">
        <v>2272</v>
      </c>
      <c r="E999" s="40">
        <f>29580+2900</f>
        <v>32480</v>
      </c>
      <c r="F999" s="78">
        <v>32480</v>
      </c>
      <c r="G999" s="4" t="s">
        <v>2283</v>
      </c>
      <c r="H999" s="4" t="s">
        <v>2284</v>
      </c>
      <c r="I999" s="4" t="s">
        <v>19</v>
      </c>
      <c r="J999" s="10" t="s">
        <v>1714</v>
      </c>
      <c r="K999" s="67" t="s">
        <v>2285</v>
      </c>
    </row>
    <row r="1000" spans="2:11" ht="90" x14ac:dyDescent="0.25">
      <c r="B1000" s="1">
        <v>1019</v>
      </c>
      <c r="C1000" s="1" t="s">
        <v>2271</v>
      </c>
      <c r="D1000" s="1" t="s">
        <v>2273</v>
      </c>
      <c r="E1000" s="40" t="s">
        <v>2571</v>
      </c>
      <c r="F1000" s="4">
        <v>56301</v>
      </c>
      <c r="G1000" s="4" t="s">
        <v>2283</v>
      </c>
      <c r="H1000" s="4" t="s">
        <v>2284</v>
      </c>
      <c r="I1000" s="4" t="s">
        <v>19</v>
      </c>
      <c r="J1000" s="10" t="s">
        <v>1714</v>
      </c>
      <c r="K1000" s="67" t="s">
        <v>2286</v>
      </c>
    </row>
    <row r="1001" spans="2:11" ht="45" x14ac:dyDescent="0.25">
      <c r="B1001" s="1">
        <v>1020</v>
      </c>
      <c r="C1001" s="1" t="s">
        <v>645</v>
      </c>
      <c r="D1001" s="1" t="s">
        <v>89</v>
      </c>
      <c r="E1001" s="40" t="s">
        <v>2452</v>
      </c>
      <c r="F1001" s="4">
        <v>600</v>
      </c>
      <c r="G1001" s="4" t="s">
        <v>2283</v>
      </c>
      <c r="H1001" s="4" t="s">
        <v>81</v>
      </c>
      <c r="I1001" s="12" t="s">
        <v>19</v>
      </c>
      <c r="J1001" s="8" t="s">
        <v>3</v>
      </c>
      <c r="K1001" s="67" t="s">
        <v>2321</v>
      </c>
    </row>
    <row r="1002" spans="2:11" ht="45" x14ac:dyDescent="0.25">
      <c r="B1002" s="3">
        <v>1021</v>
      </c>
      <c r="C1002" s="1" t="s">
        <v>2289</v>
      </c>
      <c r="D1002" s="1" t="s">
        <v>83</v>
      </c>
      <c r="E1002" s="40" t="s">
        <v>2455</v>
      </c>
      <c r="F1002" s="4">
        <v>671</v>
      </c>
      <c r="G1002" s="4" t="s">
        <v>2322</v>
      </c>
      <c r="H1002" s="4" t="s">
        <v>81</v>
      </c>
      <c r="I1002" s="12" t="s">
        <v>19</v>
      </c>
      <c r="J1002" s="8" t="s">
        <v>3</v>
      </c>
      <c r="K1002" s="67" t="s">
        <v>2323</v>
      </c>
    </row>
    <row r="1003" spans="2:11" ht="45" x14ac:dyDescent="0.25">
      <c r="B1003" s="3">
        <v>1022</v>
      </c>
      <c r="C1003" s="1" t="s">
        <v>2289</v>
      </c>
      <c r="D1003" s="1" t="s">
        <v>543</v>
      </c>
      <c r="E1003" s="40" t="s">
        <v>2456</v>
      </c>
      <c r="F1003" s="4">
        <v>1364</v>
      </c>
      <c r="G1003" s="4" t="s">
        <v>2322</v>
      </c>
      <c r="H1003" s="4" t="s">
        <v>81</v>
      </c>
      <c r="I1003" s="12" t="s">
        <v>19</v>
      </c>
      <c r="J1003" s="8" t="s">
        <v>3</v>
      </c>
      <c r="K1003" s="67" t="s">
        <v>2324</v>
      </c>
    </row>
    <row r="1004" spans="2:11" ht="45" x14ac:dyDescent="0.25">
      <c r="B1004" s="1">
        <v>1023</v>
      </c>
      <c r="C1004" s="1" t="s">
        <v>986</v>
      </c>
      <c r="D1004" s="1" t="s">
        <v>543</v>
      </c>
      <c r="E1004" s="40" t="s">
        <v>487</v>
      </c>
      <c r="F1004" s="4">
        <v>2000</v>
      </c>
      <c r="G1004" s="4" t="s">
        <v>2322</v>
      </c>
      <c r="H1004" s="4" t="s">
        <v>81</v>
      </c>
      <c r="I1004" s="12" t="s">
        <v>19</v>
      </c>
      <c r="J1004" s="8" t="s">
        <v>3</v>
      </c>
      <c r="K1004" s="67" t="s">
        <v>2325</v>
      </c>
    </row>
    <row r="1005" spans="2:11" ht="45" x14ac:dyDescent="0.25">
      <c r="B1005" s="1">
        <v>1024</v>
      </c>
      <c r="C1005" s="1" t="s">
        <v>641</v>
      </c>
      <c r="D1005" s="1" t="s">
        <v>83</v>
      </c>
      <c r="E1005" s="40" t="s">
        <v>2458</v>
      </c>
      <c r="F1005" s="4">
        <v>2462.5</v>
      </c>
      <c r="G1005" s="4" t="s">
        <v>2322</v>
      </c>
      <c r="H1005" s="4" t="s">
        <v>81</v>
      </c>
      <c r="I1005" s="12" t="s">
        <v>19</v>
      </c>
      <c r="J1005" s="8" t="s">
        <v>3</v>
      </c>
      <c r="K1005" s="67" t="s">
        <v>2326</v>
      </c>
    </row>
    <row r="1006" spans="2:11" ht="45" x14ac:dyDescent="0.25">
      <c r="B1006" s="3">
        <v>1025</v>
      </c>
      <c r="C1006" s="1" t="s">
        <v>645</v>
      </c>
      <c r="D1006" s="1" t="s">
        <v>89</v>
      </c>
      <c r="E1006" s="40">
        <v>647.9</v>
      </c>
      <c r="F1006" s="4">
        <v>650</v>
      </c>
      <c r="G1006" s="4" t="s">
        <v>2322</v>
      </c>
      <c r="H1006" s="4" t="s">
        <v>81</v>
      </c>
      <c r="I1006" s="12" t="s">
        <v>19</v>
      </c>
      <c r="J1006" s="8" t="s">
        <v>3</v>
      </c>
      <c r="K1006" s="67" t="s">
        <v>2327</v>
      </c>
    </row>
    <row r="1007" spans="2:11" ht="45" x14ac:dyDescent="0.25">
      <c r="B1007" s="3">
        <v>1026</v>
      </c>
      <c r="C1007" s="1" t="s">
        <v>986</v>
      </c>
      <c r="D1007" s="1" t="s">
        <v>543</v>
      </c>
      <c r="E1007" s="40" t="s">
        <v>2454</v>
      </c>
      <c r="F1007" s="4">
        <v>2850</v>
      </c>
      <c r="G1007" s="4" t="s">
        <v>2322</v>
      </c>
      <c r="H1007" s="4" t="s">
        <v>81</v>
      </c>
      <c r="I1007" s="12" t="s">
        <v>19</v>
      </c>
      <c r="J1007" s="8" t="s">
        <v>3</v>
      </c>
      <c r="K1007" s="67" t="s">
        <v>2328</v>
      </c>
    </row>
    <row r="1008" spans="2:11" ht="45" x14ac:dyDescent="0.25">
      <c r="B1008" s="1">
        <v>1027</v>
      </c>
      <c r="C1008" s="1" t="s">
        <v>103</v>
      </c>
      <c r="D1008" s="1" t="s">
        <v>104</v>
      </c>
      <c r="E1008" s="40" t="s">
        <v>428</v>
      </c>
      <c r="F1008" s="4">
        <v>1500</v>
      </c>
      <c r="G1008" s="4" t="s">
        <v>2329</v>
      </c>
      <c r="H1008" s="4" t="s">
        <v>81</v>
      </c>
      <c r="I1008" s="4" t="s">
        <v>19</v>
      </c>
      <c r="J1008" s="8" t="s">
        <v>3</v>
      </c>
      <c r="K1008" s="67" t="s">
        <v>2330</v>
      </c>
    </row>
    <row r="1009" spans="2:11" ht="45" x14ac:dyDescent="0.25">
      <c r="B1009" s="1">
        <v>1028</v>
      </c>
      <c r="C1009" s="1" t="s">
        <v>103</v>
      </c>
      <c r="D1009" s="1" t="s">
        <v>104</v>
      </c>
      <c r="E1009" s="40" t="s">
        <v>2484</v>
      </c>
      <c r="F1009" s="4">
        <v>5375</v>
      </c>
      <c r="G1009" s="4" t="s">
        <v>2329</v>
      </c>
      <c r="H1009" s="4" t="s">
        <v>81</v>
      </c>
      <c r="I1009" s="4" t="s">
        <v>19</v>
      </c>
      <c r="J1009" s="8" t="s">
        <v>3</v>
      </c>
      <c r="K1009" s="67" t="s">
        <v>2331</v>
      </c>
    </row>
    <row r="1010" spans="2:11" ht="45" x14ac:dyDescent="0.25">
      <c r="B1010" s="3">
        <v>1029</v>
      </c>
      <c r="C1010" s="1" t="s">
        <v>612</v>
      </c>
      <c r="D1010" s="1" t="s">
        <v>85</v>
      </c>
      <c r="E1010" s="40" t="s">
        <v>2542</v>
      </c>
      <c r="F1010" s="4">
        <v>1394</v>
      </c>
      <c r="G1010" s="4" t="s">
        <v>2329</v>
      </c>
      <c r="H1010" s="4" t="s">
        <v>81</v>
      </c>
      <c r="I1010" s="4" t="s">
        <v>19</v>
      </c>
      <c r="J1010" s="8" t="s">
        <v>3</v>
      </c>
      <c r="K1010" s="67" t="s">
        <v>2332</v>
      </c>
    </row>
    <row r="1011" spans="2:11" ht="45" x14ac:dyDescent="0.25">
      <c r="B1011" s="3">
        <v>1030</v>
      </c>
      <c r="C1011" s="1" t="s">
        <v>589</v>
      </c>
      <c r="D1011" s="1" t="s">
        <v>89</v>
      </c>
      <c r="E1011" s="40">
        <v>519</v>
      </c>
      <c r="F1011" s="4">
        <v>550</v>
      </c>
      <c r="G1011" s="4" t="s">
        <v>2329</v>
      </c>
      <c r="H1011" s="4" t="s">
        <v>81</v>
      </c>
      <c r="I1011" s="4" t="s">
        <v>19</v>
      </c>
      <c r="J1011" s="8" t="s">
        <v>3</v>
      </c>
      <c r="K1011" s="67" t="s">
        <v>2333</v>
      </c>
    </row>
    <row r="1012" spans="2:11" ht="45" x14ac:dyDescent="0.25">
      <c r="B1012" s="1">
        <v>1031</v>
      </c>
      <c r="C1012" s="1" t="s">
        <v>497</v>
      </c>
      <c r="D1012" s="1" t="s">
        <v>89</v>
      </c>
      <c r="E1012" s="40" t="s">
        <v>2545</v>
      </c>
      <c r="F1012" s="4">
        <v>650</v>
      </c>
      <c r="G1012" s="4" t="s">
        <v>2329</v>
      </c>
      <c r="H1012" s="4" t="s">
        <v>81</v>
      </c>
      <c r="I1012" s="4" t="s">
        <v>19</v>
      </c>
      <c r="J1012" s="8" t="s">
        <v>3</v>
      </c>
      <c r="K1012" s="67" t="s">
        <v>2334</v>
      </c>
    </row>
    <row r="1013" spans="2:11" ht="101.25" x14ac:dyDescent="0.25">
      <c r="B1013" s="3">
        <v>1033</v>
      </c>
      <c r="C1013" s="1" t="s">
        <v>2290</v>
      </c>
      <c r="D1013" s="1" t="s">
        <v>2291</v>
      </c>
      <c r="E1013" s="40" t="s">
        <v>2445</v>
      </c>
      <c r="F1013" s="4">
        <v>6000</v>
      </c>
      <c r="G1013" s="4" t="s">
        <v>2335</v>
      </c>
      <c r="H1013" s="4" t="s">
        <v>81</v>
      </c>
      <c r="I1013" s="12" t="s">
        <v>19</v>
      </c>
      <c r="J1013" s="10" t="s">
        <v>566</v>
      </c>
      <c r="K1013" s="67" t="s">
        <v>2336</v>
      </c>
    </row>
    <row r="1014" spans="2:11" ht="90" x14ac:dyDescent="0.25">
      <c r="B1014" s="3">
        <v>1034</v>
      </c>
      <c r="C1014" s="1" t="s">
        <v>2292</v>
      </c>
      <c r="D1014" s="1" t="s">
        <v>2293</v>
      </c>
      <c r="E1014" s="40">
        <f>743733.1+318759.9+57939.56</f>
        <v>1120432.56</v>
      </c>
      <c r="F1014" s="4">
        <v>1166714.56</v>
      </c>
      <c r="G1014" s="4" t="s">
        <v>2335</v>
      </c>
      <c r="H1014" s="4" t="s">
        <v>81</v>
      </c>
      <c r="I1014" s="12" t="s">
        <v>19</v>
      </c>
      <c r="J1014" s="10" t="s">
        <v>1714</v>
      </c>
      <c r="K1014" s="67" t="s">
        <v>2337</v>
      </c>
    </row>
    <row r="1015" spans="2:11" ht="90" x14ac:dyDescent="0.25">
      <c r="B1015" s="1">
        <v>1035</v>
      </c>
      <c r="C1015" s="1" t="s">
        <v>2294</v>
      </c>
      <c r="D1015" s="1" t="s">
        <v>773</v>
      </c>
      <c r="E1015" s="40" t="s">
        <v>2776</v>
      </c>
      <c r="F1015" s="4">
        <v>217754.33</v>
      </c>
      <c r="G1015" s="4" t="s">
        <v>2335</v>
      </c>
      <c r="H1015" s="4" t="s">
        <v>81</v>
      </c>
      <c r="I1015" s="12" t="s">
        <v>19</v>
      </c>
      <c r="J1015" s="10" t="s">
        <v>1714</v>
      </c>
      <c r="K1015" s="67" t="s">
        <v>2338</v>
      </c>
    </row>
    <row r="1016" spans="2:11" ht="101.25" x14ac:dyDescent="0.25">
      <c r="B1016" s="1">
        <v>1036</v>
      </c>
      <c r="C1016" s="1" t="s">
        <v>489</v>
      </c>
      <c r="D1016" s="1" t="s">
        <v>2295</v>
      </c>
      <c r="E1016" s="40" t="s">
        <v>514</v>
      </c>
      <c r="F1016" s="4">
        <v>1500</v>
      </c>
      <c r="G1016" s="4" t="s">
        <v>2335</v>
      </c>
      <c r="H1016" s="4" t="s">
        <v>81</v>
      </c>
      <c r="I1016" s="12" t="s">
        <v>19</v>
      </c>
      <c r="J1016" s="10" t="s">
        <v>284</v>
      </c>
      <c r="K1016" s="67" t="s">
        <v>2339</v>
      </c>
    </row>
    <row r="1017" spans="2:11" ht="45" x14ac:dyDescent="0.25">
      <c r="B1017" s="3">
        <v>1037</v>
      </c>
      <c r="C1017" s="1" t="s">
        <v>625</v>
      </c>
      <c r="D1017" s="1" t="s">
        <v>85</v>
      </c>
      <c r="E1017" s="40">
        <v>402.5</v>
      </c>
      <c r="F1017" s="4">
        <v>402.5</v>
      </c>
      <c r="G1017" s="4" t="s">
        <v>2335</v>
      </c>
      <c r="H1017" s="4" t="s">
        <v>81</v>
      </c>
      <c r="I1017" s="12" t="s">
        <v>19</v>
      </c>
      <c r="J1017" s="8" t="s">
        <v>3</v>
      </c>
      <c r="K1017" s="67" t="s">
        <v>2340</v>
      </c>
    </row>
    <row r="1018" spans="2:11" ht="45" x14ac:dyDescent="0.25">
      <c r="B1018" s="3">
        <v>1038</v>
      </c>
      <c r="C1018" s="1" t="s">
        <v>1919</v>
      </c>
      <c r="D1018" s="1" t="s">
        <v>85</v>
      </c>
      <c r="E1018" s="40">
        <v>225</v>
      </c>
      <c r="F1018" s="4">
        <v>225</v>
      </c>
      <c r="G1018" s="4" t="s">
        <v>2335</v>
      </c>
      <c r="H1018" s="4" t="s">
        <v>81</v>
      </c>
      <c r="I1018" s="12" t="s">
        <v>19</v>
      </c>
      <c r="J1018" s="8" t="s">
        <v>3</v>
      </c>
      <c r="K1018" s="67" t="s">
        <v>2341</v>
      </c>
    </row>
    <row r="1019" spans="2:11" ht="45" x14ac:dyDescent="0.25">
      <c r="B1019" s="1">
        <v>1039</v>
      </c>
      <c r="C1019" s="1" t="s">
        <v>787</v>
      </c>
      <c r="D1019" s="1" t="s">
        <v>89</v>
      </c>
      <c r="E1019" s="40">
        <v>49.92</v>
      </c>
      <c r="F1019" s="4">
        <v>50</v>
      </c>
      <c r="G1019" s="4" t="s">
        <v>2335</v>
      </c>
      <c r="H1019" s="4" t="s">
        <v>81</v>
      </c>
      <c r="I1019" s="12" t="s">
        <v>19</v>
      </c>
      <c r="J1019" s="8" t="s">
        <v>3</v>
      </c>
      <c r="K1019" s="67" t="s">
        <v>2342</v>
      </c>
    </row>
    <row r="1020" spans="2:11" ht="45" x14ac:dyDescent="0.25">
      <c r="B1020" s="1">
        <v>1040</v>
      </c>
      <c r="C1020" s="1" t="s">
        <v>972</v>
      </c>
      <c r="D1020" s="1" t="s">
        <v>89</v>
      </c>
      <c r="E1020" s="40" t="s">
        <v>2469</v>
      </c>
      <c r="F1020" s="4">
        <v>60</v>
      </c>
      <c r="G1020" s="4" t="s">
        <v>2335</v>
      </c>
      <c r="H1020" s="4" t="s">
        <v>81</v>
      </c>
      <c r="I1020" s="12" t="s">
        <v>19</v>
      </c>
      <c r="J1020" s="8" t="s">
        <v>3</v>
      </c>
      <c r="K1020" s="67" t="s">
        <v>2343</v>
      </c>
    </row>
    <row r="1021" spans="2:11" ht="45" x14ac:dyDescent="0.25">
      <c r="B1021" s="3">
        <v>1041</v>
      </c>
      <c r="C1021" s="1" t="s">
        <v>589</v>
      </c>
      <c r="D1021" s="1" t="s">
        <v>89</v>
      </c>
      <c r="E1021" s="40" t="s">
        <v>507</v>
      </c>
      <c r="F1021" s="4">
        <v>50</v>
      </c>
      <c r="G1021" s="4" t="s">
        <v>2335</v>
      </c>
      <c r="H1021" s="4" t="s">
        <v>81</v>
      </c>
      <c r="I1021" s="12" t="s">
        <v>19</v>
      </c>
      <c r="J1021" s="8" t="s">
        <v>3</v>
      </c>
      <c r="K1021" s="67" t="s">
        <v>2344</v>
      </c>
    </row>
    <row r="1022" spans="2:11" ht="45" x14ac:dyDescent="0.25">
      <c r="B1022" s="3">
        <v>1042</v>
      </c>
      <c r="C1022" s="1" t="s">
        <v>2296</v>
      </c>
      <c r="D1022" s="1" t="s">
        <v>89</v>
      </c>
      <c r="E1022" s="40">
        <v>60</v>
      </c>
      <c r="F1022" s="4">
        <v>60</v>
      </c>
      <c r="G1022" s="4" t="s">
        <v>2335</v>
      </c>
      <c r="H1022" s="4" t="s">
        <v>81</v>
      </c>
      <c r="I1022" s="12" t="s">
        <v>19</v>
      </c>
      <c r="J1022" s="8" t="s">
        <v>3</v>
      </c>
      <c r="K1022" s="67" t="s">
        <v>2345</v>
      </c>
    </row>
    <row r="1023" spans="2:11" ht="45" x14ac:dyDescent="0.25">
      <c r="B1023" s="1">
        <v>1043</v>
      </c>
      <c r="C1023" s="1" t="s">
        <v>1229</v>
      </c>
      <c r="D1023" s="1" t="s">
        <v>89</v>
      </c>
      <c r="E1023" s="40">
        <v>40</v>
      </c>
      <c r="F1023" s="4">
        <v>50</v>
      </c>
      <c r="G1023" s="4" t="s">
        <v>2335</v>
      </c>
      <c r="H1023" s="4" t="s">
        <v>81</v>
      </c>
      <c r="I1023" s="12" t="s">
        <v>19</v>
      </c>
      <c r="J1023" s="8" t="s">
        <v>3</v>
      </c>
      <c r="K1023" s="67" t="s">
        <v>2346</v>
      </c>
    </row>
    <row r="1024" spans="2:11" ht="45" x14ac:dyDescent="0.25">
      <c r="B1024" s="1">
        <v>1044</v>
      </c>
      <c r="C1024" s="1" t="s">
        <v>2219</v>
      </c>
      <c r="D1024" s="1" t="s">
        <v>89</v>
      </c>
      <c r="E1024" s="40" t="s">
        <v>507</v>
      </c>
      <c r="F1024" s="4">
        <v>50</v>
      </c>
      <c r="G1024" s="4" t="s">
        <v>2335</v>
      </c>
      <c r="H1024" s="4" t="s">
        <v>81</v>
      </c>
      <c r="I1024" s="12" t="s">
        <v>19</v>
      </c>
      <c r="J1024" s="8" t="s">
        <v>3</v>
      </c>
      <c r="K1024" s="67" t="s">
        <v>2347</v>
      </c>
    </row>
    <row r="1025" spans="2:11" ht="45" x14ac:dyDescent="0.25">
      <c r="B1025" s="3">
        <v>1045</v>
      </c>
      <c r="C1025" s="1" t="s">
        <v>1919</v>
      </c>
      <c r="D1025" s="1" t="s">
        <v>89</v>
      </c>
      <c r="E1025" s="40">
        <v>59.4</v>
      </c>
      <c r="F1025" s="4">
        <v>60</v>
      </c>
      <c r="G1025" s="4" t="s">
        <v>2335</v>
      </c>
      <c r="H1025" s="4" t="s">
        <v>81</v>
      </c>
      <c r="I1025" s="12" t="s">
        <v>19</v>
      </c>
      <c r="J1025" s="8" t="s">
        <v>3</v>
      </c>
      <c r="K1025" s="67" t="s">
        <v>2348</v>
      </c>
    </row>
    <row r="1026" spans="2:11" ht="45" x14ac:dyDescent="0.25">
      <c r="B1026" s="3">
        <v>1046</v>
      </c>
      <c r="C1026" s="1" t="s">
        <v>2215</v>
      </c>
      <c r="D1026" s="1" t="s">
        <v>89</v>
      </c>
      <c r="E1026" s="40" t="s">
        <v>1121</v>
      </c>
      <c r="F1026" s="4">
        <v>60</v>
      </c>
      <c r="G1026" s="4" t="s">
        <v>2335</v>
      </c>
      <c r="H1026" s="4" t="s">
        <v>81</v>
      </c>
      <c r="I1026" s="12" t="s">
        <v>19</v>
      </c>
      <c r="J1026" s="8" t="s">
        <v>3</v>
      </c>
      <c r="K1026" s="67" t="s">
        <v>2349</v>
      </c>
    </row>
    <row r="1027" spans="2:11" ht="45" x14ac:dyDescent="0.25">
      <c r="B1027" s="1">
        <v>1047</v>
      </c>
      <c r="C1027" s="1" t="s">
        <v>444</v>
      </c>
      <c r="D1027" s="1" t="s">
        <v>543</v>
      </c>
      <c r="E1027" s="40" t="s">
        <v>2471</v>
      </c>
      <c r="F1027" s="4">
        <v>2100</v>
      </c>
      <c r="G1027" s="4" t="s">
        <v>2335</v>
      </c>
      <c r="H1027" s="4" t="s">
        <v>81</v>
      </c>
      <c r="I1027" s="12" t="s">
        <v>19</v>
      </c>
      <c r="J1027" s="8" t="s">
        <v>3</v>
      </c>
      <c r="K1027" s="67" t="s">
        <v>2350</v>
      </c>
    </row>
    <row r="1028" spans="2:11" ht="45" x14ac:dyDescent="0.25">
      <c r="B1028" s="1">
        <v>1048</v>
      </c>
      <c r="C1028" s="1" t="s">
        <v>1932</v>
      </c>
      <c r="D1028" s="1" t="s">
        <v>83</v>
      </c>
      <c r="E1028" s="40" t="s">
        <v>2470</v>
      </c>
      <c r="F1028" s="4">
        <v>1950</v>
      </c>
      <c r="G1028" s="4" t="s">
        <v>2335</v>
      </c>
      <c r="H1028" s="4" t="s">
        <v>81</v>
      </c>
      <c r="I1028" s="12" t="s">
        <v>19</v>
      </c>
      <c r="J1028" s="8" t="s">
        <v>3</v>
      </c>
      <c r="K1028" s="67" t="s">
        <v>2351</v>
      </c>
    </row>
    <row r="1029" spans="2:11" ht="101.25" x14ac:dyDescent="0.25">
      <c r="B1029" s="3">
        <v>1049</v>
      </c>
      <c r="C1029" s="1" t="s">
        <v>2297</v>
      </c>
      <c r="D1029" s="1" t="s">
        <v>792</v>
      </c>
      <c r="E1029" s="40" t="s">
        <v>2538</v>
      </c>
      <c r="F1029" s="4">
        <v>11500</v>
      </c>
      <c r="G1029" s="4" t="s">
        <v>2335</v>
      </c>
      <c r="H1029" s="4" t="s">
        <v>81</v>
      </c>
      <c r="I1029" s="12" t="s">
        <v>19</v>
      </c>
      <c r="J1029" s="10" t="s">
        <v>566</v>
      </c>
      <c r="K1029" s="67" t="s">
        <v>2352</v>
      </c>
    </row>
    <row r="1030" spans="2:11" ht="45" x14ac:dyDescent="0.25">
      <c r="B1030" s="3">
        <v>1050</v>
      </c>
      <c r="C1030" s="1" t="s">
        <v>2215</v>
      </c>
      <c r="D1030" s="1" t="s">
        <v>89</v>
      </c>
      <c r="E1030" s="40" t="s">
        <v>2462</v>
      </c>
      <c r="F1030" s="4">
        <v>1150</v>
      </c>
      <c r="G1030" s="4" t="s">
        <v>2353</v>
      </c>
      <c r="H1030" s="4" t="s">
        <v>81</v>
      </c>
      <c r="I1030" s="12" t="s">
        <v>19</v>
      </c>
      <c r="J1030" s="8" t="s">
        <v>3</v>
      </c>
      <c r="K1030" s="67" t="s">
        <v>2354</v>
      </c>
    </row>
    <row r="1031" spans="2:11" ht="45" x14ac:dyDescent="0.25">
      <c r="B1031" s="1">
        <v>1051</v>
      </c>
      <c r="C1031" s="1" t="s">
        <v>1506</v>
      </c>
      <c r="D1031" s="1" t="s">
        <v>85</v>
      </c>
      <c r="E1031" s="40" t="s">
        <v>2548</v>
      </c>
      <c r="F1031" s="4" t="s">
        <v>2549</v>
      </c>
      <c r="G1031" s="4" t="s">
        <v>2353</v>
      </c>
      <c r="H1031" s="4" t="s">
        <v>81</v>
      </c>
      <c r="I1031" s="12" t="s">
        <v>19</v>
      </c>
      <c r="J1031" s="8" t="s">
        <v>3</v>
      </c>
      <c r="K1031" s="67" t="s">
        <v>2355</v>
      </c>
    </row>
    <row r="1032" spans="2:11" ht="45" x14ac:dyDescent="0.25">
      <c r="B1032" s="1">
        <v>1052</v>
      </c>
      <c r="C1032" s="1" t="s">
        <v>2298</v>
      </c>
      <c r="D1032" s="1" t="s">
        <v>543</v>
      </c>
      <c r="E1032" s="40" t="s">
        <v>2472</v>
      </c>
      <c r="F1032" s="4" t="s">
        <v>2472</v>
      </c>
      <c r="G1032" s="4" t="s">
        <v>2353</v>
      </c>
      <c r="H1032" s="4" t="s">
        <v>81</v>
      </c>
      <c r="I1032" s="12" t="s">
        <v>19</v>
      </c>
      <c r="J1032" s="8" t="s">
        <v>3</v>
      </c>
      <c r="K1032" s="67" t="s">
        <v>2356</v>
      </c>
    </row>
    <row r="1033" spans="2:11" ht="45" x14ac:dyDescent="0.25">
      <c r="B1033" s="3">
        <v>1053</v>
      </c>
      <c r="C1033" s="1" t="s">
        <v>968</v>
      </c>
      <c r="D1033" s="1" t="s">
        <v>85</v>
      </c>
      <c r="E1033" s="40" t="s">
        <v>2485</v>
      </c>
      <c r="F1033" s="4">
        <v>13434.3</v>
      </c>
      <c r="G1033" s="4" t="s">
        <v>2353</v>
      </c>
      <c r="H1033" s="4" t="s">
        <v>81</v>
      </c>
      <c r="I1033" s="12" t="s">
        <v>19</v>
      </c>
      <c r="J1033" s="8" t="s">
        <v>3</v>
      </c>
      <c r="K1033" s="67" t="s">
        <v>2357</v>
      </c>
    </row>
    <row r="1034" spans="2:11" ht="45" x14ac:dyDescent="0.25">
      <c r="B1034" s="3">
        <v>1054</v>
      </c>
      <c r="C1034" s="1" t="s">
        <v>393</v>
      </c>
      <c r="D1034" s="1" t="s">
        <v>83</v>
      </c>
      <c r="E1034" s="40" t="s">
        <v>2463</v>
      </c>
      <c r="F1034" s="4">
        <v>1925</v>
      </c>
      <c r="G1034" s="4" t="s">
        <v>2353</v>
      </c>
      <c r="H1034" s="4" t="s">
        <v>81</v>
      </c>
      <c r="I1034" s="12" t="s">
        <v>19</v>
      </c>
      <c r="J1034" s="8" t="s">
        <v>3</v>
      </c>
      <c r="K1034" s="67" t="s">
        <v>2358</v>
      </c>
    </row>
    <row r="1035" spans="2:11" ht="45" x14ac:dyDescent="0.25">
      <c r="B1035" s="1">
        <v>1055</v>
      </c>
      <c r="C1035" s="1" t="s">
        <v>169</v>
      </c>
      <c r="D1035" s="1" t="s">
        <v>543</v>
      </c>
      <c r="E1035" s="40" t="s">
        <v>2482</v>
      </c>
      <c r="F1035" s="4">
        <v>3250</v>
      </c>
      <c r="G1035" s="4" t="s">
        <v>2353</v>
      </c>
      <c r="H1035" s="4" t="s">
        <v>81</v>
      </c>
      <c r="I1035" s="12" t="s">
        <v>19</v>
      </c>
      <c r="J1035" s="8" t="s">
        <v>3</v>
      </c>
      <c r="K1035" s="67" t="s">
        <v>2359</v>
      </c>
    </row>
    <row r="1036" spans="2:11" ht="45" x14ac:dyDescent="0.25">
      <c r="B1036" s="1">
        <v>1056</v>
      </c>
      <c r="C1036" s="1" t="s">
        <v>1236</v>
      </c>
      <c r="D1036" s="1" t="s">
        <v>83</v>
      </c>
      <c r="E1036" s="40" t="s">
        <v>2481</v>
      </c>
      <c r="F1036" s="4">
        <v>2460</v>
      </c>
      <c r="G1036" s="4" t="s">
        <v>2353</v>
      </c>
      <c r="H1036" s="4" t="s">
        <v>81</v>
      </c>
      <c r="I1036" s="12" t="s">
        <v>19</v>
      </c>
      <c r="J1036" s="8" t="s">
        <v>3</v>
      </c>
      <c r="K1036" s="67" t="s">
        <v>2360</v>
      </c>
    </row>
    <row r="1037" spans="2:11" ht="45" x14ac:dyDescent="0.25">
      <c r="B1037" s="3">
        <v>1057</v>
      </c>
      <c r="C1037" s="1" t="s">
        <v>625</v>
      </c>
      <c r="D1037" s="1" t="s">
        <v>85</v>
      </c>
      <c r="E1037" s="40">
        <v>481.25</v>
      </c>
      <c r="F1037" s="4">
        <v>481.25</v>
      </c>
      <c r="G1037" s="4" t="s">
        <v>2353</v>
      </c>
      <c r="H1037" s="4" t="s">
        <v>81</v>
      </c>
      <c r="I1037" s="12" t="s">
        <v>19</v>
      </c>
      <c r="J1037" s="8" t="s">
        <v>3</v>
      </c>
      <c r="K1037" s="1" t="s">
        <v>2361</v>
      </c>
    </row>
    <row r="1038" spans="2:11" ht="45" x14ac:dyDescent="0.25">
      <c r="B1038" s="3">
        <v>1058</v>
      </c>
      <c r="C1038" s="1" t="s">
        <v>800</v>
      </c>
      <c r="D1038" s="1" t="s">
        <v>85</v>
      </c>
      <c r="E1038" s="40" t="s">
        <v>1348</v>
      </c>
      <c r="F1038" s="4">
        <v>370</v>
      </c>
      <c r="G1038" s="4" t="s">
        <v>2353</v>
      </c>
      <c r="H1038" s="4" t="s">
        <v>81</v>
      </c>
      <c r="I1038" s="12" t="s">
        <v>19</v>
      </c>
      <c r="J1038" s="8" t="s">
        <v>3</v>
      </c>
      <c r="K1038" s="1" t="s">
        <v>2362</v>
      </c>
    </row>
    <row r="1039" spans="2:11" ht="45" x14ac:dyDescent="0.25">
      <c r="B1039" s="1">
        <v>1059</v>
      </c>
      <c r="C1039" s="1" t="s">
        <v>799</v>
      </c>
      <c r="D1039" s="1" t="s">
        <v>89</v>
      </c>
      <c r="E1039" s="40">
        <v>445.55</v>
      </c>
      <c r="F1039" s="4">
        <v>450</v>
      </c>
      <c r="G1039" s="4" t="s">
        <v>2353</v>
      </c>
      <c r="H1039" s="4" t="s">
        <v>81</v>
      </c>
      <c r="I1039" s="12" t="s">
        <v>19</v>
      </c>
      <c r="J1039" s="8" t="s">
        <v>3</v>
      </c>
      <c r="K1039" s="1" t="s">
        <v>2363</v>
      </c>
    </row>
    <row r="1040" spans="2:11" ht="45" x14ac:dyDescent="0.25">
      <c r="B1040" s="1">
        <v>1060</v>
      </c>
      <c r="C1040" s="1" t="s">
        <v>970</v>
      </c>
      <c r="D1040" s="1" t="s">
        <v>85</v>
      </c>
      <c r="E1040" s="40" t="s">
        <v>2480</v>
      </c>
      <c r="F1040" s="4">
        <v>860</v>
      </c>
      <c r="G1040" s="4" t="s">
        <v>2353</v>
      </c>
      <c r="H1040" s="4" t="s">
        <v>81</v>
      </c>
      <c r="I1040" s="12" t="s">
        <v>19</v>
      </c>
      <c r="J1040" s="8" t="s">
        <v>3</v>
      </c>
      <c r="K1040" s="1" t="s">
        <v>2364</v>
      </c>
    </row>
    <row r="1041" spans="2:11" ht="45" x14ac:dyDescent="0.25">
      <c r="B1041" s="3">
        <v>1061</v>
      </c>
      <c r="C1041" s="1" t="s">
        <v>970</v>
      </c>
      <c r="D1041" s="1" t="s">
        <v>85</v>
      </c>
      <c r="E1041" s="40" t="s">
        <v>2479</v>
      </c>
      <c r="F1041" s="4">
        <v>700</v>
      </c>
      <c r="G1041" s="4" t="s">
        <v>2353</v>
      </c>
      <c r="H1041" s="4" t="s">
        <v>81</v>
      </c>
      <c r="I1041" s="12" t="s">
        <v>19</v>
      </c>
      <c r="J1041" s="8" t="s">
        <v>3</v>
      </c>
      <c r="K1041" s="1" t="s">
        <v>2365</v>
      </c>
    </row>
    <row r="1042" spans="2:11" ht="45" x14ac:dyDescent="0.25">
      <c r="B1042" s="3">
        <v>1062</v>
      </c>
      <c r="C1042" s="1" t="s">
        <v>2299</v>
      </c>
      <c r="D1042" s="1" t="s">
        <v>89</v>
      </c>
      <c r="E1042" s="40" t="s">
        <v>2483</v>
      </c>
      <c r="F1042" s="4">
        <v>200</v>
      </c>
      <c r="G1042" s="4" t="s">
        <v>2353</v>
      </c>
      <c r="H1042" s="4" t="s">
        <v>81</v>
      </c>
      <c r="I1042" s="12" t="s">
        <v>19</v>
      </c>
      <c r="J1042" s="8" t="s">
        <v>3</v>
      </c>
      <c r="K1042" s="1" t="s">
        <v>2366</v>
      </c>
    </row>
    <row r="1043" spans="2:11" ht="45" x14ac:dyDescent="0.25">
      <c r="B1043" s="1">
        <v>1063</v>
      </c>
      <c r="C1043" s="1" t="s">
        <v>148</v>
      </c>
      <c r="D1043" s="1" t="s">
        <v>89</v>
      </c>
      <c r="E1043" s="40" t="s">
        <v>2478</v>
      </c>
      <c r="F1043" s="4">
        <v>250</v>
      </c>
      <c r="G1043" s="4" t="s">
        <v>2353</v>
      </c>
      <c r="H1043" s="4" t="s">
        <v>81</v>
      </c>
      <c r="I1043" s="12" t="s">
        <v>19</v>
      </c>
      <c r="J1043" s="8" t="s">
        <v>3</v>
      </c>
      <c r="K1043" s="1" t="s">
        <v>2367</v>
      </c>
    </row>
    <row r="1044" spans="2:11" ht="45" x14ac:dyDescent="0.25">
      <c r="B1044" s="1">
        <v>1064</v>
      </c>
      <c r="C1044" s="1" t="s">
        <v>2300</v>
      </c>
      <c r="D1044" s="1" t="s">
        <v>104</v>
      </c>
      <c r="E1044" s="40" t="s">
        <v>2475</v>
      </c>
      <c r="F1044" s="4">
        <v>2551</v>
      </c>
      <c r="G1044" s="4" t="s">
        <v>2353</v>
      </c>
      <c r="H1044" s="4" t="s">
        <v>81</v>
      </c>
      <c r="I1044" s="12" t="s">
        <v>19</v>
      </c>
      <c r="J1044" s="8" t="s">
        <v>3</v>
      </c>
      <c r="K1044" s="1" t="s">
        <v>2368</v>
      </c>
    </row>
    <row r="1045" spans="2:11" ht="45" x14ac:dyDescent="0.25">
      <c r="B1045" s="3">
        <v>1065</v>
      </c>
      <c r="C1045" s="1" t="s">
        <v>623</v>
      </c>
      <c r="D1045" s="1" t="s">
        <v>104</v>
      </c>
      <c r="E1045" s="40" t="s">
        <v>2477</v>
      </c>
      <c r="F1045" s="4">
        <v>14022</v>
      </c>
      <c r="G1045" s="4" t="s">
        <v>2353</v>
      </c>
      <c r="H1045" s="4" t="s">
        <v>81</v>
      </c>
      <c r="I1045" s="12" t="s">
        <v>19</v>
      </c>
      <c r="J1045" s="8" t="s">
        <v>3</v>
      </c>
      <c r="K1045" s="1" t="s">
        <v>2369</v>
      </c>
    </row>
    <row r="1046" spans="2:11" ht="45" x14ac:dyDescent="0.25">
      <c r="B1046" s="3">
        <v>1066</v>
      </c>
      <c r="C1046" s="1" t="s">
        <v>103</v>
      </c>
      <c r="D1046" s="1" t="s">
        <v>104</v>
      </c>
      <c r="E1046" s="40" t="s">
        <v>2476</v>
      </c>
      <c r="F1046" s="4">
        <v>1340</v>
      </c>
      <c r="G1046" s="4" t="s">
        <v>2353</v>
      </c>
      <c r="H1046" s="4" t="s">
        <v>81</v>
      </c>
      <c r="I1046" s="12" t="s">
        <v>19</v>
      </c>
      <c r="J1046" s="8" t="s">
        <v>3</v>
      </c>
      <c r="K1046" s="1" t="s">
        <v>2370</v>
      </c>
    </row>
    <row r="1047" spans="2:11" ht="90" x14ac:dyDescent="0.25">
      <c r="B1047" s="1">
        <v>1067</v>
      </c>
      <c r="C1047" s="1" t="s">
        <v>2301</v>
      </c>
      <c r="D1047" s="1" t="s">
        <v>2302</v>
      </c>
      <c r="E1047" s="40">
        <f>471000+400000+675159.42</f>
        <v>1546159.42</v>
      </c>
      <c r="F1047" s="4" t="s">
        <v>2655</v>
      </c>
      <c r="G1047" s="4" t="s">
        <v>2353</v>
      </c>
      <c r="H1047" s="4" t="s">
        <v>81</v>
      </c>
      <c r="I1047" s="12" t="s">
        <v>19</v>
      </c>
      <c r="J1047" s="10" t="s">
        <v>1714</v>
      </c>
      <c r="K1047" s="1" t="s">
        <v>2371</v>
      </c>
    </row>
    <row r="1048" spans="2:11" ht="45" x14ac:dyDescent="0.25">
      <c r="B1048" s="1">
        <v>1068</v>
      </c>
      <c r="C1048" s="1" t="s">
        <v>2303</v>
      </c>
      <c r="D1048" s="1" t="s">
        <v>2304</v>
      </c>
      <c r="E1048" s="40">
        <v>70</v>
      </c>
      <c r="F1048" s="4">
        <v>500</v>
      </c>
      <c r="G1048" s="4" t="s">
        <v>2372</v>
      </c>
      <c r="H1048" s="4" t="s">
        <v>81</v>
      </c>
      <c r="I1048" s="12" t="s">
        <v>19</v>
      </c>
      <c r="J1048" s="8" t="s">
        <v>3</v>
      </c>
      <c r="K1048" s="1" t="s">
        <v>2373</v>
      </c>
    </row>
    <row r="1049" spans="2:11" ht="101.25" x14ac:dyDescent="0.25">
      <c r="B1049" s="3">
        <v>1069</v>
      </c>
      <c r="C1049" s="1" t="s">
        <v>2305</v>
      </c>
      <c r="D1049" s="1" t="s">
        <v>2306</v>
      </c>
      <c r="E1049" s="40" t="s">
        <v>2451</v>
      </c>
      <c r="F1049" s="4">
        <v>8602</v>
      </c>
      <c r="G1049" s="4" t="s">
        <v>2372</v>
      </c>
      <c r="H1049" s="4" t="s">
        <v>81</v>
      </c>
      <c r="I1049" s="12" t="s">
        <v>19</v>
      </c>
      <c r="J1049" s="10" t="s">
        <v>566</v>
      </c>
      <c r="K1049" s="1" t="s">
        <v>2374</v>
      </c>
    </row>
    <row r="1050" spans="2:11" ht="90" x14ac:dyDescent="0.25">
      <c r="B1050" s="3">
        <v>1070</v>
      </c>
      <c r="C1050" s="1" t="s">
        <v>2307</v>
      </c>
      <c r="D1050" s="1" t="s">
        <v>2308</v>
      </c>
      <c r="E1050" s="40">
        <f>46116.47+47447.32+100518.59</f>
        <v>194082.38</v>
      </c>
      <c r="F1050" s="4">
        <v>244000</v>
      </c>
      <c r="G1050" s="4" t="s">
        <v>2372</v>
      </c>
      <c r="H1050" s="4" t="s">
        <v>81</v>
      </c>
      <c r="I1050" s="12" t="s">
        <v>19</v>
      </c>
      <c r="J1050" s="10" t="s">
        <v>1714</v>
      </c>
      <c r="K1050" s="1" t="s">
        <v>2375</v>
      </c>
    </row>
    <row r="1051" spans="2:11" ht="45" x14ac:dyDescent="0.25">
      <c r="B1051" s="1">
        <v>1071</v>
      </c>
      <c r="C1051" s="1" t="s">
        <v>103</v>
      </c>
      <c r="D1051" s="1" t="s">
        <v>104</v>
      </c>
      <c r="E1051" s="40" t="s">
        <v>2647</v>
      </c>
      <c r="F1051" s="4">
        <v>16618.2</v>
      </c>
      <c r="G1051" s="4" t="s">
        <v>2372</v>
      </c>
      <c r="H1051" s="4" t="s">
        <v>81</v>
      </c>
      <c r="I1051" s="12" t="s">
        <v>19</v>
      </c>
      <c r="J1051" s="8" t="s">
        <v>3</v>
      </c>
      <c r="K1051" s="1" t="s">
        <v>2620</v>
      </c>
    </row>
    <row r="1052" spans="2:11" ht="45" x14ac:dyDescent="0.25">
      <c r="B1052" s="3">
        <v>1073</v>
      </c>
      <c r="C1052" s="1" t="s">
        <v>542</v>
      </c>
      <c r="D1052" s="1" t="s">
        <v>543</v>
      </c>
      <c r="E1052" s="40">
        <v>280</v>
      </c>
      <c r="F1052" s="4">
        <v>280</v>
      </c>
      <c r="G1052" s="4" t="s">
        <v>2376</v>
      </c>
      <c r="H1052" s="4" t="s">
        <v>81</v>
      </c>
      <c r="I1052" s="12" t="s">
        <v>19</v>
      </c>
      <c r="J1052" s="8" t="s">
        <v>3</v>
      </c>
      <c r="K1052" s="1" t="s">
        <v>2377</v>
      </c>
    </row>
    <row r="1053" spans="2:11" ht="45.75" x14ac:dyDescent="0.25">
      <c r="B1053" s="3">
        <v>1074</v>
      </c>
      <c r="C1053" s="1" t="s">
        <v>2309</v>
      </c>
      <c r="D1053" s="1" t="s">
        <v>2310</v>
      </c>
      <c r="E1053" s="40" t="s">
        <v>507</v>
      </c>
      <c r="F1053" s="4">
        <v>50</v>
      </c>
      <c r="G1053" s="4" t="s">
        <v>2378</v>
      </c>
      <c r="H1053" s="4" t="s">
        <v>2229</v>
      </c>
      <c r="I1053" s="12" t="s">
        <v>19</v>
      </c>
      <c r="J1053" s="8" t="s">
        <v>7</v>
      </c>
      <c r="K1053" s="1" t="s">
        <v>2379</v>
      </c>
    </row>
    <row r="1054" spans="2:11" ht="45" x14ac:dyDescent="0.25">
      <c r="B1054" s="1">
        <v>1075</v>
      </c>
      <c r="C1054" s="1" t="s">
        <v>133</v>
      </c>
      <c r="D1054" s="1" t="s">
        <v>85</v>
      </c>
      <c r="E1054" s="40">
        <f>31446.91+2429.32+4630.66</f>
        <v>38506.89</v>
      </c>
      <c r="F1054" s="4">
        <v>50000</v>
      </c>
      <c r="G1054" s="4" t="s">
        <v>2378</v>
      </c>
      <c r="H1054" s="4" t="s">
        <v>81</v>
      </c>
      <c r="I1054" s="12" t="s">
        <v>19</v>
      </c>
      <c r="J1054" s="8" t="s">
        <v>3</v>
      </c>
      <c r="K1054" s="1" t="s">
        <v>2380</v>
      </c>
    </row>
    <row r="1055" spans="2:11" ht="45" x14ac:dyDescent="0.25">
      <c r="B1055" s="1">
        <v>1076</v>
      </c>
      <c r="C1055" s="1" t="s">
        <v>2311</v>
      </c>
      <c r="D1055" s="1" t="s">
        <v>543</v>
      </c>
      <c r="E1055" s="40" t="s">
        <v>1867</v>
      </c>
      <c r="F1055" s="4">
        <v>4000</v>
      </c>
      <c r="G1055" s="4" t="s">
        <v>2378</v>
      </c>
      <c r="H1055" s="4" t="s">
        <v>81</v>
      </c>
      <c r="I1055" s="12" t="s">
        <v>19</v>
      </c>
      <c r="J1055" s="8" t="s">
        <v>3</v>
      </c>
      <c r="K1055" s="1" t="s">
        <v>2381</v>
      </c>
    </row>
    <row r="1056" spans="2:11" ht="45" x14ac:dyDescent="0.2">
      <c r="B1056" s="3">
        <v>1077</v>
      </c>
      <c r="C1056" s="1" t="s">
        <v>130</v>
      </c>
      <c r="D1056" s="1" t="s">
        <v>89</v>
      </c>
      <c r="E1056" s="40" t="s">
        <v>888</v>
      </c>
      <c r="F1056" s="4">
        <v>1200</v>
      </c>
      <c r="G1056" s="4" t="s">
        <v>2378</v>
      </c>
      <c r="H1056" s="4" t="s">
        <v>81</v>
      </c>
      <c r="I1056" s="12" t="s">
        <v>19</v>
      </c>
      <c r="J1056" s="8" t="s">
        <v>3</v>
      </c>
      <c r="K1056" s="64" t="s">
        <v>2382</v>
      </c>
    </row>
    <row r="1057" spans="2:11" ht="45" x14ac:dyDescent="0.25">
      <c r="B1057" s="3">
        <v>1078</v>
      </c>
      <c r="C1057" s="1" t="s">
        <v>136</v>
      </c>
      <c r="D1057" s="1" t="s">
        <v>89</v>
      </c>
      <c r="E1057" s="40" t="s">
        <v>2540</v>
      </c>
      <c r="F1057" s="4">
        <v>1200</v>
      </c>
      <c r="G1057" s="4" t="s">
        <v>2378</v>
      </c>
      <c r="H1057" s="4" t="s">
        <v>81</v>
      </c>
      <c r="I1057" s="12" t="s">
        <v>19</v>
      </c>
      <c r="J1057" s="8" t="s">
        <v>3</v>
      </c>
      <c r="K1057" s="1" t="s">
        <v>2383</v>
      </c>
    </row>
    <row r="1058" spans="2:11" ht="45" x14ac:dyDescent="0.25">
      <c r="B1058" s="1">
        <v>1079</v>
      </c>
      <c r="C1058" s="1" t="s">
        <v>962</v>
      </c>
      <c r="D1058" s="1" t="s">
        <v>89</v>
      </c>
      <c r="E1058" s="40" t="s">
        <v>2531</v>
      </c>
      <c r="F1058" s="4">
        <v>1200</v>
      </c>
      <c r="G1058" s="4" t="s">
        <v>2378</v>
      </c>
      <c r="H1058" s="4" t="s">
        <v>81</v>
      </c>
      <c r="I1058" s="12" t="s">
        <v>19</v>
      </c>
      <c r="J1058" s="8" t="s">
        <v>3</v>
      </c>
      <c r="K1058" s="1" t="s">
        <v>2384</v>
      </c>
    </row>
    <row r="1059" spans="2:11" ht="45" x14ac:dyDescent="0.25">
      <c r="B1059" s="1">
        <v>1080</v>
      </c>
      <c r="C1059" s="1" t="s">
        <v>2312</v>
      </c>
      <c r="D1059" s="1" t="s">
        <v>89</v>
      </c>
      <c r="E1059" s="40" t="s">
        <v>1112</v>
      </c>
      <c r="F1059" s="4">
        <v>1000</v>
      </c>
      <c r="G1059" s="4" t="s">
        <v>2378</v>
      </c>
      <c r="H1059" s="4" t="s">
        <v>81</v>
      </c>
      <c r="I1059" s="12" t="s">
        <v>19</v>
      </c>
      <c r="J1059" s="8" t="s">
        <v>3</v>
      </c>
      <c r="K1059" s="1" t="s">
        <v>2541</v>
      </c>
    </row>
    <row r="1060" spans="2:11" ht="90" x14ac:dyDescent="0.25">
      <c r="B1060" s="3">
        <v>1081</v>
      </c>
      <c r="C1060" s="1" t="s">
        <v>2313</v>
      </c>
      <c r="D1060" s="1" t="s">
        <v>2314</v>
      </c>
      <c r="E1060" s="40" t="s">
        <v>2648</v>
      </c>
      <c r="F1060" s="4" t="s">
        <v>2648</v>
      </c>
      <c r="G1060" s="4" t="s">
        <v>2378</v>
      </c>
      <c r="H1060" s="4" t="s">
        <v>81</v>
      </c>
      <c r="I1060" s="12" t="s">
        <v>19</v>
      </c>
      <c r="J1060" s="10" t="s">
        <v>2385</v>
      </c>
      <c r="K1060" s="1" t="s">
        <v>2386</v>
      </c>
    </row>
    <row r="1061" spans="2:11" ht="90" x14ac:dyDescent="0.25">
      <c r="B1061" s="3">
        <v>1082</v>
      </c>
      <c r="C1061" s="1" t="s">
        <v>2315</v>
      </c>
      <c r="D1061" s="1" t="s">
        <v>2316</v>
      </c>
      <c r="E1061" s="40" t="s">
        <v>2640</v>
      </c>
      <c r="F1061" s="4">
        <v>134956.6</v>
      </c>
      <c r="G1061" s="4" t="s">
        <v>2378</v>
      </c>
      <c r="H1061" s="4" t="s">
        <v>81</v>
      </c>
      <c r="I1061" s="12" t="s">
        <v>19</v>
      </c>
      <c r="J1061" s="10" t="s">
        <v>2385</v>
      </c>
      <c r="K1061" s="1" t="s">
        <v>2639</v>
      </c>
    </row>
    <row r="1062" spans="2:11" ht="90" x14ac:dyDescent="0.25">
      <c r="B1062" s="1">
        <v>1084</v>
      </c>
      <c r="C1062" s="1" t="s">
        <v>2317</v>
      </c>
      <c r="D1062" s="1" t="s">
        <v>2318</v>
      </c>
      <c r="E1062" s="40" t="s">
        <v>2644</v>
      </c>
      <c r="F1062" s="4">
        <v>3750</v>
      </c>
      <c r="G1062" s="4" t="s">
        <v>2378</v>
      </c>
      <c r="H1062" s="4" t="s">
        <v>81</v>
      </c>
      <c r="I1062" s="12" t="s">
        <v>19</v>
      </c>
      <c r="J1062" s="10" t="s">
        <v>1714</v>
      </c>
      <c r="K1062" s="1" t="s">
        <v>2621</v>
      </c>
    </row>
    <row r="1063" spans="2:11" ht="90" x14ac:dyDescent="0.25">
      <c r="B1063" s="3">
        <v>1085</v>
      </c>
      <c r="C1063" s="1" t="s">
        <v>2319</v>
      </c>
      <c r="D1063" s="1" t="s">
        <v>2318</v>
      </c>
      <c r="E1063" s="40" t="s">
        <v>2646</v>
      </c>
      <c r="F1063" s="4">
        <v>2500</v>
      </c>
      <c r="G1063" s="4" t="s">
        <v>2378</v>
      </c>
      <c r="H1063" s="4" t="s">
        <v>81</v>
      </c>
      <c r="I1063" s="12" t="s">
        <v>19</v>
      </c>
      <c r="J1063" s="10" t="s">
        <v>1714</v>
      </c>
      <c r="K1063" s="1" t="s">
        <v>2387</v>
      </c>
    </row>
    <row r="1064" spans="2:11" ht="45" x14ac:dyDescent="0.25">
      <c r="B1064" s="3">
        <v>1086</v>
      </c>
      <c r="C1064" s="1" t="s">
        <v>623</v>
      </c>
      <c r="D1064" s="1" t="s">
        <v>104</v>
      </c>
      <c r="E1064" s="40" t="s">
        <v>2487</v>
      </c>
      <c r="F1064" s="4">
        <v>32392</v>
      </c>
      <c r="G1064" s="4" t="s">
        <v>2388</v>
      </c>
      <c r="H1064" s="4" t="s">
        <v>81</v>
      </c>
      <c r="I1064" s="12" t="s">
        <v>19</v>
      </c>
      <c r="J1064" s="8" t="s">
        <v>3</v>
      </c>
      <c r="K1064" s="1" t="s">
        <v>2486</v>
      </c>
    </row>
    <row r="1065" spans="2:11" ht="45" x14ac:dyDescent="0.25">
      <c r="B1065" s="1">
        <v>1087</v>
      </c>
      <c r="C1065" s="1" t="s">
        <v>103</v>
      </c>
      <c r="D1065" s="1" t="s">
        <v>104</v>
      </c>
      <c r="E1065" s="40" t="s">
        <v>2530</v>
      </c>
      <c r="F1065" s="4">
        <v>3134</v>
      </c>
      <c r="G1065" s="4" t="s">
        <v>2388</v>
      </c>
      <c r="H1065" s="4" t="s">
        <v>81</v>
      </c>
      <c r="I1065" s="12" t="s">
        <v>19</v>
      </c>
      <c r="J1065" s="8" t="s">
        <v>3</v>
      </c>
      <c r="K1065" s="1" t="s">
        <v>2526</v>
      </c>
    </row>
    <row r="1066" spans="2:11" ht="45" x14ac:dyDescent="0.25">
      <c r="B1066" s="1">
        <v>1088</v>
      </c>
      <c r="C1066" s="1" t="s">
        <v>444</v>
      </c>
      <c r="D1066" s="1" t="s">
        <v>543</v>
      </c>
      <c r="E1066" s="40" t="s">
        <v>2529</v>
      </c>
      <c r="F1066" s="4">
        <v>380</v>
      </c>
      <c r="G1066" s="4" t="s">
        <v>2389</v>
      </c>
      <c r="H1066" s="4" t="s">
        <v>81</v>
      </c>
      <c r="I1066" s="12" t="s">
        <v>19</v>
      </c>
      <c r="J1066" s="8" t="s">
        <v>3</v>
      </c>
      <c r="K1066" s="1" t="s">
        <v>2527</v>
      </c>
    </row>
    <row r="1067" spans="2:11" ht="90" x14ac:dyDescent="0.25">
      <c r="B1067" s="3">
        <v>1089</v>
      </c>
      <c r="C1067" s="1" t="s">
        <v>1211</v>
      </c>
      <c r="D1067" s="1" t="s">
        <v>102</v>
      </c>
      <c r="E1067" s="40">
        <f>120377.94+51590.54</f>
        <v>171968.48</v>
      </c>
      <c r="F1067" s="4" t="s">
        <v>2636</v>
      </c>
      <c r="G1067" s="4" t="s">
        <v>2389</v>
      </c>
      <c r="H1067" s="4" t="s">
        <v>81</v>
      </c>
      <c r="I1067" s="12" t="s">
        <v>19</v>
      </c>
      <c r="J1067" s="10" t="s">
        <v>2385</v>
      </c>
      <c r="K1067" s="1" t="s">
        <v>2528</v>
      </c>
    </row>
    <row r="1068" spans="2:11" ht="22.5" x14ac:dyDescent="0.25">
      <c r="B1068" s="3">
        <v>1090</v>
      </c>
      <c r="C1068" s="1" t="s">
        <v>1211</v>
      </c>
      <c r="D1068" s="1" t="s">
        <v>2320</v>
      </c>
      <c r="E1068" s="45">
        <v>16850</v>
      </c>
      <c r="F1068" s="4">
        <v>16850</v>
      </c>
      <c r="G1068" s="4" t="s">
        <v>2389</v>
      </c>
      <c r="H1068" s="4" t="s">
        <v>81</v>
      </c>
      <c r="I1068" s="4" t="s">
        <v>12</v>
      </c>
      <c r="J1068" s="8" t="s">
        <v>2390</v>
      </c>
      <c r="K1068" s="1"/>
    </row>
    <row r="1069" spans="2:11" ht="11.25" x14ac:dyDescent="0.25">
      <c r="B1069" s="1">
        <v>1091</v>
      </c>
      <c r="C1069" s="1" t="s">
        <v>494</v>
      </c>
      <c r="D1069" s="1" t="s">
        <v>607</v>
      </c>
      <c r="E1069" s="40">
        <v>692</v>
      </c>
      <c r="F1069" s="4">
        <v>173</v>
      </c>
      <c r="G1069" s="4" t="s">
        <v>2389</v>
      </c>
      <c r="H1069" s="4" t="s">
        <v>81</v>
      </c>
      <c r="I1069" s="4" t="s">
        <v>8</v>
      </c>
      <c r="K1069" s="1" t="s">
        <v>2543</v>
      </c>
    </row>
    <row r="1070" spans="2:11" ht="45" x14ac:dyDescent="0.25">
      <c r="B1070" s="1">
        <v>1092</v>
      </c>
      <c r="C1070" s="1" t="s">
        <v>400</v>
      </c>
      <c r="D1070" s="1" t="s">
        <v>89</v>
      </c>
      <c r="E1070" s="40" t="s">
        <v>2483</v>
      </c>
      <c r="F1070" s="4">
        <v>200</v>
      </c>
      <c r="G1070" s="4" t="s">
        <v>2389</v>
      </c>
      <c r="H1070" s="4" t="s">
        <v>81</v>
      </c>
      <c r="I1070" s="4" t="s">
        <v>19</v>
      </c>
      <c r="J1070" s="8" t="s">
        <v>3</v>
      </c>
      <c r="K1070" s="1" t="s">
        <v>2533</v>
      </c>
    </row>
    <row r="1071" spans="2:11" ht="90" x14ac:dyDescent="0.25">
      <c r="B1071" s="3">
        <v>1093</v>
      </c>
      <c r="C1071" s="1" t="s">
        <v>2759</v>
      </c>
      <c r="D1071" s="1" t="s">
        <v>2760</v>
      </c>
      <c r="E1071" s="40" t="s">
        <v>2758</v>
      </c>
      <c r="F1071" s="4">
        <v>51979</v>
      </c>
      <c r="G1071" s="4" t="s">
        <v>2389</v>
      </c>
      <c r="H1071" s="4" t="s">
        <v>81</v>
      </c>
      <c r="I1071" s="12" t="s">
        <v>19</v>
      </c>
      <c r="J1071" s="10" t="s">
        <v>1714</v>
      </c>
      <c r="K1071" s="1" t="s">
        <v>2622</v>
      </c>
    </row>
    <row r="1072" spans="2:11" ht="45" x14ac:dyDescent="0.25">
      <c r="B1072" s="3">
        <v>1094</v>
      </c>
      <c r="C1072" s="1" t="s">
        <v>497</v>
      </c>
      <c r="D1072" s="1" t="s">
        <v>89</v>
      </c>
      <c r="E1072" s="40" t="s">
        <v>2546</v>
      </c>
      <c r="F1072" s="4">
        <v>200</v>
      </c>
      <c r="G1072" s="4" t="s">
        <v>2389</v>
      </c>
      <c r="H1072" s="4" t="s">
        <v>81</v>
      </c>
      <c r="I1072" s="4" t="s">
        <v>19</v>
      </c>
      <c r="J1072" s="8" t="s">
        <v>3</v>
      </c>
      <c r="K1072" s="1" t="s">
        <v>2534</v>
      </c>
    </row>
    <row r="1073" spans="2:11" ht="45" x14ac:dyDescent="0.25">
      <c r="B1073" s="1">
        <v>1095</v>
      </c>
      <c r="C1073" s="1" t="s">
        <v>1229</v>
      </c>
      <c r="D1073" s="1" t="s">
        <v>89</v>
      </c>
      <c r="E1073" s="40">
        <v>170</v>
      </c>
      <c r="F1073" s="4">
        <v>240</v>
      </c>
      <c r="G1073" s="4" t="s">
        <v>2389</v>
      </c>
      <c r="H1073" s="4" t="s">
        <v>81</v>
      </c>
      <c r="I1073" s="4" t="s">
        <v>19</v>
      </c>
      <c r="J1073" s="8" t="s">
        <v>3</v>
      </c>
      <c r="K1073" s="1" t="s">
        <v>2535</v>
      </c>
    </row>
    <row r="1074" spans="2:11" ht="45" x14ac:dyDescent="0.25">
      <c r="B1074" s="1">
        <v>1096</v>
      </c>
      <c r="C1074" s="1" t="s">
        <v>972</v>
      </c>
      <c r="D1074" s="1" t="s">
        <v>89</v>
      </c>
      <c r="E1074" s="40">
        <v>240</v>
      </c>
      <c r="F1074" s="4">
        <v>240</v>
      </c>
      <c r="G1074" s="4" t="s">
        <v>2389</v>
      </c>
      <c r="H1074" s="4" t="s">
        <v>81</v>
      </c>
      <c r="I1074" s="4" t="s">
        <v>19</v>
      </c>
      <c r="J1074" s="8" t="s">
        <v>3</v>
      </c>
      <c r="K1074" s="1" t="s">
        <v>2536</v>
      </c>
    </row>
    <row r="1075" spans="2:11" ht="45" x14ac:dyDescent="0.25">
      <c r="B1075" s="1">
        <v>1097</v>
      </c>
      <c r="C1075" s="1" t="s">
        <v>986</v>
      </c>
      <c r="D1075" s="1" t="s">
        <v>543</v>
      </c>
      <c r="E1075" s="40" t="s">
        <v>2532</v>
      </c>
      <c r="F1075" s="4">
        <v>2550</v>
      </c>
      <c r="G1075" s="4" t="s">
        <v>2389</v>
      </c>
      <c r="H1075" s="4" t="s">
        <v>81</v>
      </c>
      <c r="I1075" s="4" t="s">
        <v>19</v>
      </c>
      <c r="J1075" s="8" t="s">
        <v>3</v>
      </c>
      <c r="K1075" s="1" t="s">
        <v>2503</v>
      </c>
    </row>
    <row r="1076" spans="2:11" ht="45" x14ac:dyDescent="0.25">
      <c r="B1076" s="1">
        <v>1098</v>
      </c>
      <c r="C1076" s="1" t="s">
        <v>645</v>
      </c>
      <c r="D1076" s="1" t="s">
        <v>89</v>
      </c>
      <c r="E1076" s="40">
        <v>199.1</v>
      </c>
      <c r="F1076" s="4">
        <v>200</v>
      </c>
      <c r="G1076" s="4" t="s">
        <v>2389</v>
      </c>
      <c r="H1076" s="4" t="s">
        <v>81</v>
      </c>
      <c r="I1076" s="4" t="s">
        <v>19</v>
      </c>
      <c r="J1076" s="8" t="s">
        <v>3</v>
      </c>
      <c r="K1076" s="1" t="s">
        <v>2504</v>
      </c>
    </row>
    <row r="1077" spans="2:11" ht="45" x14ac:dyDescent="0.25">
      <c r="B1077" s="3">
        <v>1099</v>
      </c>
      <c r="C1077" s="1" t="s">
        <v>393</v>
      </c>
      <c r="D1077" s="1" t="s">
        <v>83</v>
      </c>
      <c r="E1077" s="40" t="s">
        <v>2537</v>
      </c>
      <c r="F1077" s="4">
        <v>2331.25</v>
      </c>
      <c r="G1077" s="4" t="s">
        <v>2389</v>
      </c>
      <c r="H1077" s="4" t="s">
        <v>81</v>
      </c>
      <c r="I1077" s="4" t="s">
        <v>19</v>
      </c>
      <c r="J1077" s="8" t="s">
        <v>3</v>
      </c>
      <c r="K1077" s="1" t="s">
        <v>2505</v>
      </c>
    </row>
    <row r="1078" spans="2:11" ht="90" x14ac:dyDescent="0.25">
      <c r="B1078" s="3">
        <v>1100</v>
      </c>
      <c r="C1078" s="1" t="s">
        <v>2489</v>
      </c>
      <c r="D1078" s="1" t="s">
        <v>2490</v>
      </c>
      <c r="E1078" s="40">
        <f>68553+71820+97320</f>
        <v>237693</v>
      </c>
      <c r="F1078" s="4">
        <v>295500</v>
      </c>
      <c r="G1078" s="4" t="s">
        <v>2506</v>
      </c>
      <c r="H1078" s="4" t="s">
        <v>81</v>
      </c>
      <c r="I1078" s="4" t="s">
        <v>19</v>
      </c>
      <c r="J1078" s="10" t="s">
        <v>2385</v>
      </c>
      <c r="K1078" s="1" t="s">
        <v>2507</v>
      </c>
    </row>
    <row r="1079" spans="2:11" ht="45" x14ac:dyDescent="0.25">
      <c r="B1079" s="1">
        <v>1102</v>
      </c>
      <c r="C1079" s="1" t="s">
        <v>448</v>
      </c>
      <c r="D1079" s="1" t="s">
        <v>89</v>
      </c>
      <c r="E1079" s="40">
        <v>50</v>
      </c>
      <c r="F1079" s="4">
        <v>50</v>
      </c>
      <c r="G1079" s="4" t="s">
        <v>2508</v>
      </c>
      <c r="H1079" s="24" t="s">
        <v>81</v>
      </c>
      <c r="I1079" s="4" t="s">
        <v>19</v>
      </c>
      <c r="J1079" s="8" t="s">
        <v>3</v>
      </c>
      <c r="K1079" s="1" t="s">
        <v>2509</v>
      </c>
    </row>
    <row r="1080" spans="2:11" ht="45" x14ac:dyDescent="0.25">
      <c r="B1080" s="1">
        <v>1103</v>
      </c>
      <c r="C1080" s="1" t="s">
        <v>542</v>
      </c>
      <c r="D1080" s="1" t="s">
        <v>543</v>
      </c>
      <c r="E1080" s="40">
        <v>930</v>
      </c>
      <c r="F1080" s="4">
        <v>930</v>
      </c>
      <c r="G1080" s="4" t="s">
        <v>2510</v>
      </c>
      <c r="H1080" s="24" t="s">
        <v>81</v>
      </c>
      <c r="I1080" s="4" t="s">
        <v>19</v>
      </c>
      <c r="J1080" s="8" t="s">
        <v>3</v>
      </c>
      <c r="K1080" s="1" t="s">
        <v>2511</v>
      </c>
    </row>
    <row r="1081" spans="2:11" ht="45" x14ac:dyDescent="0.25">
      <c r="B1081" s="1">
        <v>1104</v>
      </c>
      <c r="C1081" s="1" t="s">
        <v>789</v>
      </c>
      <c r="D1081" s="1" t="s">
        <v>83</v>
      </c>
      <c r="E1081" s="40">
        <v>425</v>
      </c>
      <c r="F1081" s="4">
        <v>425</v>
      </c>
      <c r="G1081" s="4" t="s">
        <v>2510</v>
      </c>
      <c r="H1081" s="24" t="s">
        <v>81</v>
      </c>
      <c r="I1081" s="4" t="s">
        <v>19</v>
      </c>
      <c r="J1081" s="8" t="s">
        <v>3</v>
      </c>
      <c r="K1081" s="1" t="s">
        <v>2512</v>
      </c>
    </row>
    <row r="1082" spans="2:11" ht="90" x14ac:dyDescent="0.25">
      <c r="B1082" s="3">
        <v>1105</v>
      </c>
      <c r="C1082" s="1" t="s">
        <v>2491</v>
      </c>
      <c r="D1082" s="1" t="s">
        <v>2492</v>
      </c>
      <c r="E1082" s="40" t="s">
        <v>2650</v>
      </c>
      <c r="F1082" s="4">
        <v>65000</v>
      </c>
      <c r="G1082" s="4" t="s">
        <v>2510</v>
      </c>
      <c r="H1082" s="24" t="s">
        <v>81</v>
      </c>
      <c r="I1082" s="4" t="s">
        <v>19</v>
      </c>
      <c r="J1082" s="10" t="s">
        <v>866</v>
      </c>
      <c r="K1082" s="1" t="s">
        <v>2513</v>
      </c>
    </row>
    <row r="1083" spans="2:11" ht="45" x14ac:dyDescent="0.25">
      <c r="B1083" s="3">
        <v>1106</v>
      </c>
      <c r="C1083" s="1" t="s">
        <v>444</v>
      </c>
      <c r="D1083" s="1" t="s">
        <v>543</v>
      </c>
      <c r="E1083" s="40">
        <v>750</v>
      </c>
      <c r="F1083" s="4">
        <v>750</v>
      </c>
      <c r="G1083" s="4" t="s">
        <v>2514</v>
      </c>
      <c r="H1083" s="4" t="s">
        <v>81</v>
      </c>
      <c r="I1083" s="4" t="s">
        <v>19</v>
      </c>
      <c r="J1083" s="8" t="s">
        <v>3</v>
      </c>
      <c r="K1083" s="1" t="s">
        <v>2515</v>
      </c>
    </row>
    <row r="1084" spans="2:11" ht="45" x14ac:dyDescent="0.25">
      <c r="B1084" s="1">
        <v>1107</v>
      </c>
      <c r="C1084" s="1" t="s">
        <v>2493</v>
      </c>
      <c r="D1084" s="1" t="s">
        <v>85</v>
      </c>
      <c r="E1084" s="40">
        <v>390</v>
      </c>
      <c r="F1084" s="4">
        <v>390</v>
      </c>
      <c r="G1084" s="4" t="s">
        <v>2514</v>
      </c>
      <c r="H1084" s="4" t="s">
        <v>81</v>
      </c>
      <c r="I1084" s="4" t="s">
        <v>19</v>
      </c>
      <c r="J1084" s="8" t="s">
        <v>3</v>
      </c>
      <c r="K1084" s="1" t="s">
        <v>2516</v>
      </c>
    </row>
    <row r="1085" spans="2:11" ht="45" x14ac:dyDescent="0.25">
      <c r="B1085" s="1">
        <v>1108</v>
      </c>
      <c r="C1085" s="1" t="s">
        <v>2493</v>
      </c>
      <c r="D1085" s="1" t="s">
        <v>89</v>
      </c>
      <c r="E1085" s="40">
        <v>170</v>
      </c>
      <c r="F1085" s="4">
        <v>240</v>
      </c>
      <c r="G1085" s="4" t="s">
        <v>2514</v>
      </c>
      <c r="H1085" s="4" t="s">
        <v>81</v>
      </c>
      <c r="I1085" s="4" t="s">
        <v>19</v>
      </c>
      <c r="J1085" s="8" t="s">
        <v>3</v>
      </c>
      <c r="K1085" s="1" t="s">
        <v>2517</v>
      </c>
    </row>
    <row r="1086" spans="2:11" ht="45" x14ac:dyDescent="0.25">
      <c r="B1086" s="1">
        <v>1109</v>
      </c>
      <c r="C1086" s="1" t="s">
        <v>393</v>
      </c>
      <c r="D1086" s="1" t="s">
        <v>83</v>
      </c>
      <c r="E1086" s="40" t="s">
        <v>2068</v>
      </c>
      <c r="F1086" s="4">
        <v>1700</v>
      </c>
      <c r="G1086" s="4" t="s">
        <v>2514</v>
      </c>
      <c r="H1086" s="4" t="s">
        <v>81</v>
      </c>
      <c r="I1086" s="4" t="s">
        <v>19</v>
      </c>
      <c r="J1086" s="8" t="s">
        <v>3</v>
      </c>
      <c r="K1086" s="1" t="s">
        <v>2564</v>
      </c>
    </row>
    <row r="1087" spans="2:11" ht="45" x14ac:dyDescent="0.25">
      <c r="B1087" s="1">
        <v>1110</v>
      </c>
      <c r="C1087" s="1" t="s">
        <v>103</v>
      </c>
      <c r="D1087" s="1" t="s">
        <v>104</v>
      </c>
      <c r="E1087" s="40" t="s">
        <v>2539</v>
      </c>
      <c r="F1087" s="4">
        <v>5181.7</v>
      </c>
      <c r="G1087" s="4" t="s">
        <v>2514</v>
      </c>
      <c r="H1087" s="4" t="s">
        <v>81</v>
      </c>
      <c r="I1087" s="4" t="s">
        <v>19</v>
      </c>
      <c r="J1087" s="8" t="s">
        <v>3</v>
      </c>
      <c r="K1087" s="1" t="s">
        <v>2518</v>
      </c>
    </row>
    <row r="1088" spans="2:11" ht="45" x14ac:dyDescent="0.25">
      <c r="B1088" s="3">
        <v>1111</v>
      </c>
      <c r="C1088" s="1" t="s">
        <v>986</v>
      </c>
      <c r="D1088" s="1" t="s">
        <v>543</v>
      </c>
      <c r="E1088" s="40" t="s">
        <v>2563</v>
      </c>
      <c r="F1088" s="4">
        <v>2200</v>
      </c>
      <c r="G1088" s="4" t="s">
        <v>2514</v>
      </c>
      <c r="H1088" s="4" t="s">
        <v>81</v>
      </c>
      <c r="I1088" s="4" t="s">
        <v>19</v>
      </c>
      <c r="J1088" s="8" t="s">
        <v>3</v>
      </c>
      <c r="K1088" s="1" t="s">
        <v>2562</v>
      </c>
    </row>
    <row r="1089" spans="2:11" ht="45" x14ac:dyDescent="0.25">
      <c r="B1089" s="3">
        <v>1112</v>
      </c>
      <c r="C1089" s="1" t="s">
        <v>625</v>
      </c>
      <c r="D1089" s="1" t="s">
        <v>85</v>
      </c>
      <c r="E1089" s="40" t="s">
        <v>2561</v>
      </c>
      <c r="F1089" s="4">
        <v>853.32</v>
      </c>
      <c r="G1089" s="4" t="s">
        <v>2514</v>
      </c>
      <c r="H1089" s="4" t="s">
        <v>81</v>
      </c>
      <c r="I1089" s="4" t="s">
        <v>19</v>
      </c>
      <c r="J1089" s="8" t="s">
        <v>3</v>
      </c>
      <c r="K1089" s="1" t="s">
        <v>2560</v>
      </c>
    </row>
    <row r="1090" spans="2:11" ht="45" x14ac:dyDescent="0.25">
      <c r="B1090" s="1">
        <v>1113</v>
      </c>
      <c r="C1090" s="1" t="s">
        <v>2494</v>
      </c>
      <c r="D1090" s="1" t="s">
        <v>89</v>
      </c>
      <c r="E1090" s="40">
        <v>50</v>
      </c>
      <c r="F1090" s="4">
        <v>50</v>
      </c>
      <c r="G1090" s="4" t="s">
        <v>2514</v>
      </c>
      <c r="H1090" s="4" t="s">
        <v>81</v>
      </c>
      <c r="I1090" s="4" t="s">
        <v>19</v>
      </c>
      <c r="J1090" s="8" t="s">
        <v>3</v>
      </c>
      <c r="K1090" s="1" t="s">
        <v>2519</v>
      </c>
    </row>
    <row r="1091" spans="2:11" ht="90" x14ac:dyDescent="0.25">
      <c r="B1091" s="1">
        <v>1114</v>
      </c>
      <c r="C1091" s="1" t="s">
        <v>2495</v>
      </c>
      <c r="D1091" s="1" t="s">
        <v>85</v>
      </c>
      <c r="E1091" s="40" t="s">
        <v>2752</v>
      </c>
      <c r="F1091" s="4">
        <v>12751</v>
      </c>
      <c r="G1091" s="4" t="s">
        <v>2520</v>
      </c>
      <c r="H1091" s="4" t="s">
        <v>81</v>
      </c>
      <c r="I1091" s="4" t="s">
        <v>19</v>
      </c>
      <c r="J1091" s="10" t="s">
        <v>2385</v>
      </c>
      <c r="K1091" s="1" t="s">
        <v>2623</v>
      </c>
    </row>
    <row r="1092" spans="2:11" ht="90" x14ac:dyDescent="0.25">
      <c r="B1092" s="1">
        <v>1115</v>
      </c>
      <c r="C1092" s="1" t="s">
        <v>2495</v>
      </c>
      <c r="D1092" s="1" t="s">
        <v>85</v>
      </c>
      <c r="E1092" s="40" t="s">
        <v>2753</v>
      </c>
      <c r="F1092" s="4">
        <v>5508</v>
      </c>
      <c r="G1092" s="4" t="s">
        <v>2520</v>
      </c>
      <c r="H1092" s="4" t="s">
        <v>81</v>
      </c>
      <c r="I1092" s="4" t="s">
        <v>19</v>
      </c>
      <c r="J1092" s="10" t="s">
        <v>2385</v>
      </c>
      <c r="K1092" s="1" t="s">
        <v>2624</v>
      </c>
    </row>
    <row r="1093" spans="2:11" ht="45" x14ac:dyDescent="0.25">
      <c r="B1093" s="1">
        <v>1116</v>
      </c>
      <c r="C1093" s="1" t="s">
        <v>2496</v>
      </c>
      <c r="D1093" s="1" t="s">
        <v>89</v>
      </c>
      <c r="E1093" s="40" t="s">
        <v>2631</v>
      </c>
      <c r="F1093" s="4">
        <v>250</v>
      </c>
      <c r="G1093" s="4" t="s">
        <v>2520</v>
      </c>
      <c r="H1093" s="4" t="s">
        <v>81</v>
      </c>
      <c r="I1093" s="4" t="s">
        <v>19</v>
      </c>
      <c r="J1093" s="8" t="s">
        <v>3</v>
      </c>
      <c r="K1093" s="1" t="s">
        <v>2625</v>
      </c>
    </row>
    <row r="1094" spans="2:11" ht="45.75" x14ac:dyDescent="0.25">
      <c r="B1094" s="3">
        <v>1118</v>
      </c>
      <c r="C1094" s="1" t="s">
        <v>631</v>
      </c>
      <c r="D1094" s="1" t="s">
        <v>632</v>
      </c>
      <c r="E1094" s="40">
        <v>50</v>
      </c>
      <c r="F1094" s="4">
        <v>50</v>
      </c>
      <c r="G1094" s="4" t="s">
        <v>2520</v>
      </c>
      <c r="H1094" s="4" t="s">
        <v>81</v>
      </c>
      <c r="I1094" s="4" t="s">
        <v>19</v>
      </c>
      <c r="J1094" s="8" t="s">
        <v>7</v>
      </c>
      <c r="K1094" s="1" t="s">
        <v>2521</v>
      </c>
    </row>
    <row r="1095" spans="2:11" ht="45" x14ac:dyDescent="0.25">
      <c r="B1095" s="1">
        <v>1119</v>
      </c>
      <c r="C1095" s="1" t="s">
        <v>2300</v>
      </c>
      <c r="D1095" s="1" t="s">
        <v>104</v>
      </c>
      <c r="E1095" s="40" t="s">
        <v>2566</v>
      </c>
      <c r="F1095" s="4">
        <v>1964</v>
      </c>
      <c r="G1095" s="4" t="s">
        <v>2520</v>
      </c>
      <c r="H1095" s="4" t="s">
        <v>81</v>
      </c>
      <c r="I1095" s="4" t="s">
        <v>19</v>
      </c>
      <c r="J1095" s="8" t="s">
        <v>3</v>
      </c>
      <c r="K1095" s="1" t="s">
        <v>2565</v>
      </c>
    </row>
    <row r="1096" spans="2:11" ht="45" x14ac:dyDescent="0.25">
      <c r="B1096" s="1">
        <v>1120</v>
      </c>
      <c r="C1096" s="1" t="s">
        <v>2497</v>
      </c>
      <c r="D1096" s="1" t="s">
        <v>89</v>
      </c>
      <c r="E1096" s="40">
        <v>179.3</v>
      </c>
      <c r="F1096" s="4">
        <v>180</v>
      </c>
      <c r="G1096" s="4" t="s">
        <v>2522</v>
      </c>
      <c r="H1096" s="4" t="s">
        <v>81</v>
      </c>
      <c r="I1096" s="4" t="s">
        <v>19</v>
      </c>
      <c r="J1096" s="8" t="s">
        <v>3</v>
      </c>
      <c r="K1096" s="1" t="s">
        <v>2626</v>
      </c>
    </row>
    <row r="1097" spans="2:11" ht="45" x14ac:dyDescent="0.25">
      <c r="B1097" s="1">
        <v>1122</v>
      </c>
      <c r="C1097" s="1" t="s">
        <v>979</v>
      </c>
      <c r="D1097" s="1" t="s">
        <v>89</v>
      </c>
      <c r="E1097" s="40">
        <v>99</v>
      </c>
      <c r="F1097" s="4">
        <v>150</v>
      </c>
      <c r="G1097" s="4" t="s">
        <v>2522</v>
      </c>
      <c r="H1097" s="4" t="s">
        <v>81</v>
      </c>
      <c r="I1097" s="4" t="s">
        <v>19</v>
      </c>
      <c r="J1097" s="8" t="s">
        <v>3</v>
      </c>
      <c r="K1097" s="1" t="s">
        <v>2627</v>
      </c>
    </row>
    <row r="1098" spans="2:11" ht="45" x14ac:dyDescent="0.25">
      <c r="B1098" s="3">
        <v>1123</v>
      </c>
      <c r="C1098" s="1" t="s">
        <v>2498</v>
      </c>
      <c r="D1098" s="1" t="s">
        <v>89</v>
      </c>
      <c r="E1098" s="40" t="s">
        <v>2757</v>
      </c>
      <c r="F1098" s="4">
        <v>150</v>
      </c>
      <c r="G1098" s="4" t="s">
        <v>2522</v>
      </c>
      <c r="H1098" s="4" t="s">
        <v>81</v>
      </c>
      <c r="I1098" s="4" t="s">
        <v>19</v>
      </c>
      <c r="J1098" s="8" t="s">
        <v>3</v>
      </c>
      <c r="K1098" s="1" t="s">
        <v>2628</v>
      </c>
    </row>
    <row r="1099" spans="2:11" ht="45" x14ac:dyDescent="0.25">
      <c r="B1099" s="3">
        <v>1124</v>
      </c>
      <c r="C1099" s="1" t="s">
        <v>1204</v>
      </c>
      <c r="D1099" s="1" t="s">
        <v>89</v>
      </c>
      <c r="E1099" s="40" t="s">
        <v>2483</v>
      </c>
      <c r="F1099" s="4">
        <v>150</v>
      </c>
      <c r="G1099" s="4" t="s">
        <v>2522</v>
      </c>
      <c r="H1099" s="4" t="s">
        <v>81</v>
      </c>
      <c r="I1099" s="4" t="s">
        <v>19</v>
      </c>
      <c r="J1099" s="8" t="s">
        <v>3</v>
      </c>
      <c r="K1099" s="1" t="s">
        <v>2554</v>
      </c>
    </row>
    <row r="1100" spans="2:11" ht="45" x14ac:dyDescent="0.25">
      <c r="B1100" s="1">
        <v>1125</v>
      </c>
      <c r="C1100" s="1" t="s">
        <v>444</v>
      </c>
      <c r="D1100" s="1" t="s">
        <v>543</v>
      </c>
      <c r="E1100" s="40" t="s">
        <v>1869</v>
      </c>
      <c r="F1100" s="4">
        <v>1400</v>
      </c>
      <c r="G1100" s="4" t="s">
        <v>2522</v>
      </c>
      <c r="H1100" s="4" t="s">
        <v>81</v>
      </c>
      <c r="I1100" s="4" t="s">
        <v>19</v>
      </c>
      <c r="J1100" s="8" t="s">
        <v>3</v>
      </c>
      <c r="K1100" s="1" t="s">
        <v>2555</v>
      </c>
    </row>
    <row r="1101" spans="2:11" ht="45" x14ac:dyDescent="0.25">
      <c r="B1101" s="1">
        <v>1126</v>
      </c>
      <c r="C1101" s="1" t="s">
        <v>1480</v>
      </c>
      <c r="D1101" s="1" t="s">
        <v>83</v>
      </c>
      <c r="E1101" s="40" t="s">
        <v>488</v>
      </c>
      <c r="F1101" s="4">
        <v>2250</v>
      </c>
      <c r="G1101" s="4" t="s">
        <v>2522</v>
      </c>
      <c r="H1101" s="4" t="s">
        <v>81</v>
      </c>
      <c r="I1101" s="4" t="s">
        <v>19</v>
      </c>
      <c r="J1101" s="8" t="s">
        <v>3</v>
      </c>
      <c r="K1101" s="1" t="s">
        <v>2556</v>
      </c>
    </row>
    <row r="1102" spans="2:11" ht="45" x14ac:dyDescent="0.25">
      <c r="B1102" s="1">
        <v>1127</v>
      </c>
      <c r="C1102" s="1" t="s">
        <v>2499</v>
      </c>
      <c r="D1102" s="1" t="s">
        <v>89</v>
      </c>
      <c r="E1102" s="40" t="s">
        <v>2618</v>
      </c>
      <c r="F1102" s="4">
        <v>300</v>
      </c>
      <c r="G1102" s="4" t="s">
        <v>2522</v>
      </c>
      <c r="H1102" s="4" t="s">
        <v>81</v>
      </c>
      <c r="I1102" s="4" t="s">
        <v>19</v>
      </c>
      <c r="J1102" s="8" t="s">
        <v>3</v>
      </c>
      <c r="K1102" s="1" t="s">
        <v>2557</v>
      </c>
    </row>
    <row r="1103" spans="2:11" ht="90" x14ac:dyDescent="0.25">
      <c r="B1103" s="1">
        <v>1128</v>
      </c>
      <c r="C1103" s="1" t="s">
        <v>542</v>
      </c>
      <c r="D1103" s="1" t="s">
        <v>2500</v>
      </c>
      <c r="E1103" s="40" t="s">
        <v>2641</v>
      </c>
      <c r="F1103" s="4">
        <v>39360</v>
      </c>
      <c r="G1103" s="4" t="s">
        <v>2523</v>
      </c>
      <c r="H1103" s="4" t="s">
        <v>81</v>
      </c>
      <c r="I1103" s="4" t="s">
        <v>19</v>
      </c>
      <c r="J1103" s="10" t="s">
        <v>2385</v>
      </c>
      <c r="K1103" s="1" t="s">
        <v>2558</v>
      </c>
    </row>
    <row r="1104" spans="2:11" ht="90" x14ac:dyDescent="0.25">
      <c r="B1104" s="3">
        <v>1129</v>
      </c>
      <c r="C1104" s="1" t="s">
        <v>441</v>
      </c>
      <c r="D1104" s="1" t="s">
        <v>2501</v>
      </c>
      <c r="E1104" s="40" t="s">
        <v>2653</v>
      </c>
      <c r="F1104" s="4">
        <v>13512</v>
      </c>
      <c r="G1104" s="4" t="s">
        <v>2524</v>
      </c>
      <c r="H1104" s="25" t="s">
        <v>81</v>
      </c>
      <c r="I1104" s="4" t="s">
        <v>19</v>
      </c>
      <c r="J1104" s="10" t="s">
        <v>1714</v>
      </c>
      <c r="K1104" s="1" t="s">
        <v>2559</v>
      </c>
    </row>
    <row r="1105" spans="2:11" ht="45" x14ac:dyDescent="0.25">
      <c r="B1105" s="3">
        <v>1130</v>
      </c>
      <c r="C1105" s="1" t="s">
        <v>1901</v>
      </c>
      <c r="D1105" s="1" t="s">
        <v>89</v>
      </c>
      <c r="E1105" s="40">
        <v>117.7</v>
      </c>
      <c r="F1105" s="4">
        <v>150</v>
      </c>
      <c r="G1105" s="4" t="s">
        <v>2524</v>
      </c>
      <c r="H1105" s="25" t="s">
        <v>81</v>
      </c>
      <c r="I1105" s="4" t="s">
        <v>19</v>
      </c>
      <c r="J1105" s="8" t="s">
        <v>3</v>
      </c>
      <c r="K1105" s="1" t="s">
        <v>2629</v>
      </c>
    </row>
    <row r="1106" spans="2:11" ht="45" x14ac:dyDescent="0.25">
      <c r="B1106" s="1">
        <v>1131</v>
      </c>
      <c r="C1106" s="1" t="s">
        <v>55</v>
      </c>
      <c r="D1106" s="1" t="s">
        <v>2502</v>
      </c>
      <c r="E1106" s="40" t="s">
        <v>2747</v>
      </c>
      <c r="F1106" s="4">
        <v>32852</v>
      </c>
      <c r="G1106" s="4" t="s">
        <v>2525</v>
      </c>
      <c r="H1106" s="4" t="s">
        <v>81</v>
      </c>
      <c r="I1106" s="4" t="s">
        <v>8</v>
      </c>
      <c r="J1106" s="8"/>
      <c r="K1106" s="1" t="s">
        <v>2630</v>
      </c>
    </row>
    <row r="1107" spans="2:11" ht="45" x14ac:dyDescent="0.25">
      <c r="B1107" s="1">
        <v>1132</v>
      </c>
      <c r="C1107" s="1" t="s">
        <v>444</v>
      </c>
      <c r="D1107" s="1" t="s">
        <v>83</v>
      </c>
      <c r="E1107" s="40">
        <v>500</v>
      </c>
      <c r="F1107" s="4">
        <v>500</v>
      </c>
      <c r="G1107" s="4" t="s">
        <v>2525</v>
      </c>
      <c r="H1107" s="4" t="s">
        <v>81</v>
      </c>
      <c r="I1107" s="4" t="s">
        <v>19</v>
      </c>
      <c r="J1107" s="8" t="s">
        <v>3</v>
      </c>
      <c r="K1107" s="1" t="s">
        <v>2551</v>
      </c>
    </row>
    <row r="1108" spans="2:11" ht="45" x14ac:dyDescent="0.25">
      <c r="B1108" s="1">
        <v>1133</v>
      </c>
      <c r="C1108" s="1" t="s">
        <v>444</v>
      </c>
      <c r="D1108" s="1" t="s">
        <v>543</v>
      </c>
      <c r="E1108" s="40" t="s">
        <v>1341</v>
      </c>
      <c r="F1108" s="4">
        <v>1000</v>
      </c>
      <c r="G1108" s="4" t="s">
        <v>2525</v>
      </c>
      <c r="H1108" s="4" t="s">
        <v>81</v>
      </c>
      <c r="I1108" s="4" t="s">
        <v>19</v>
      </c>
      <c r="J1108" s="8" t="s">
        <v>3</v>
      </c>
      <c r="K1108" s="1" t="s">
        <v>2553</v>
      </c>
    </row>
    <row r="1109" spans="2:11" ht="90" x14ac:dyDescent="0.25">
      <c r="B1109" s="1">
        <v>1134</v>
      </c>
      <c r="C1109" s="1" t="s">
        <v>968</v>
      </c>
      <c r="D1109" s="1" t="s">
        <v>2314</v>
      </c>
      <c r="E1109" s="40" t="s">
        <v>2638</v>
      </c>
      <c r="F1109" s="4">
        <v>10000.030000000001</v>
      </c>
      <c r="G1109" s="4" t="s">
        <v>2592</v>
      </c>
      <c r="H1109" s="4" t="s">
        <v>81</v>
      </c>
      <c r="I1109" s="4" t="s">
        <v>19</v>
      </c>
      <c r="J1109" s="10" t="s">
        <v>2385</v>
      </c>
      <c r="K1109" s="1" t="s">
        <v>2593</v>
      </c>
    </row>
    <row r="1110" spans="2:11" ht="45" x14ac:dyDescent="0.25">
      <c r="B1110" s="3">
        <v>1135</v>
      </c>
      <c r="C1110" s="1" t="s">
        <v>961</v>
      </c>
      <c r="D1110" s="1" t="s">
        <v>89</v>
      </c>
      <c r="E1110" s="40">
        <v>172.28</v>
      </c>
      <c r="F1110" s="4">
        <v>180</v>
      </c>
      <c r="G1110" s="4" t="s">
        <v>2592</v>
      </c>
      <c r="H1110" s="4" t="s">
        <v>81</v>
      </c>
      <c r="I1110" s="4" t="s">
        <v>19</v>
      </c>
      <c r="J1110" s="8" t="s">
        <v>3</v>
      </c>
      <c r="K1110" s="1" t="s">
        <v>2594</v>
      </c>
    </row>
    <row r="1111" spans="2:11" ht="45.75" x14ac:dyDescent="0.25">
      <c r="B1111" s="3">
        <v>1136</v>
      </c>
      <c r="C1111" s="1" t="s">
        <v>2572</v>
      </c>
      <c r="D1111" s="1" t="s">
        <v>2579</v>
      </c>
      <c r="E1111" s="40" t="s">
        <v>2656</v>
      </c>
      <c r="F1111" s="4">
        <v>19</v>
      </c>
      <c r="G1111" s="4" t="s">
        <v>2595</v>
      </c>
      <c r="H1111" s="4" t="s">
        <v>81</v>
      </c>
      <c r="I1111" s="4" t="s">
        <v>19</v>
      </c>
      <c r="J1111" s="8" t="s">
        <v>7</v>
      </c>
      <c r="K1111" s="1" t="s">
        <v>2596</v>
      </c>
    </row>
    <row r="1112" spans="2:11" ht="45.75" x14ac:dyDescent="0.25">
      <c r="B1112" s="1">
        <v>1137</v>
      </c>
      <c r="C1112" s="1" t="s">
        <v>2572</v>
      </c>
      <c r="D1112" s="1" t="s">
        <v>815</v>
      </c>
      <c r="E1112" s="40">
        <v>81</v>
      </c>
      <c r="F1112" s="4">
        <v>81</v>
      </c>
      <c r="G1112" s="4" t="s">
        <v>2595</v>
      </c>
      <c r="H1112" s="4" t="s">
        <v>81</v>
      </c>
      <c r="I1112" s="4" t="s">
        <v>19</v>
      </c>
      <c r="J1112" s="8" t="s">
        <v>7</v>
      </c>
      <c r="K1112" s="1" t="s">
        <v>2597</v>
      </c>
    </row>
    <row r="1113" spans="2:11" x14ac:dyDescent="0.25">
      <c r="B1113" s="1">
        <v>1138</v>
      </c>
      <c r="C1113" s="1" t="s">
        <v>2573</v>
      </c>
      <c r="D1113" s="1" t="s">
        <v>2580</v>
      </c>
      <c r="E1113" s="45">
        <v>1699</v>
      </c>
      <c r="F1113" s="4">
        <v>1699</v>
      </c>
      <c r="G1113" s="4" t="s">
        <v>2595</v>
      </c>
      <c r="H1113" s="4" t="s">
        <v>81</v>
      </c>
      <c r="I1113" s="4" t="s">
        <v>12</v>
      </c>
      <c r="J1113" s="1" t="s">
        <v>2598</v>
      </c>
      <c r="K1113" s="1"/>
    </row>
    <row r="1114" spans="2:11" ht="101.25" x14ac:dyDescent="0.25">
      <c r="B1114" s="1">
        <v>1139</v>
      </c>
      <c r="C1114" s="1" t="s">
        <v>265</v>
      </c>
      <c r="D1114" s="1" t="s">
        <v>2581</v>
      </c>
      <c r="E1114" s="40">
        <v>870</v>
      </c>
      <c r="F1114" s="4">
        <v>870</v>
      </c>
      <c r="G1114" s="4" t="s">
        <v>2595</v>
      </c>
      <c r="H1114" s="4" t="s">
        <v>81</v>
      </c>
      <c r="I1114" s="4" t="s">
        <v>19</v>
      </c>
      <c r="J1114" s="10" t="s">
        <v>284</v>
      </c>
      <c r="K1114" s="1" t="s">
        <v>2599</v>
      </c>
    </row>
    <row r="1115" spans="2:11" ht="45" x14ac:dyDescent="0.25">
      <c r="B1115" s="1">
        <v>1140</v>
      </c>
      <c r="C1115" s="1" t="s">
        <v>133</v>
      </c>
      <c r="D1115" s="1" t="s">
        <v>89</v>
      </c>
      <c r="E1115" s="40">
        <v>80.239999999999995</v>
      </c>
      <c r="F1115" s="4">
        <v>100</v>
      </c>
      <c r="G1115" s="4" t="s">
        <v>2595</v>
      </c>
      <c r="H1115" s="4" t="s">
        <v>81</v>
      </c>
      <c r="I1115" s="4" t="s">
        <v>19</v>
      </c>
      <c r="J1115" s="8" t="s">
        <v>3</v>
      </c>
      <c r="K1115" s="1" t="s">
        <v>2600</v>
      </c>
    </row>
    <row r="1116" spans="2:11" ht="45" x14ac:dyDescent="0.25">
      <c r="B1116" s="3">
        <v>1141</v>
      </c>
      <c r="C1116" s="1" t="s">
        <v>2574</v>
      </c>
      <c r="D1116" s="1" t="s">
        <v>89</v>
      </c>
      <c r="E1116" s="40" t="s">
        <v>429</v>
      </c>
      <c r="F1116" s="4">
        <v>450</v>
      </c>
      <c r="G1116" s="4" t="s">
        <v>2601</v>
      </c>
      <c r="H1116" s="25" t="s">
        <v>81</v>
      </c>
      <c r="I1116" s="4" t="s">
        <v>19</v>
      </c>
      <c r="J1116" s="8" t="s">
        <v>3</v>
      </c>
      <c r="K1116" s="1" t="s">
        <v>2602</v>
      </c>
    </row>
    <row r="1117" spans="2:11" ht="45" x14ac:dyDescent="0.25">
      <c r="B1117" s="3">
        <v>1142</v>
      </c>
      <c r="C1117" s="1" t="s">
        <v>628</v>
      </c>
      <c r="D1117" s="1" t="s">
        <v>83</v>
      </c>
      <c r="E1117" s="40" t="s">
        <v>2633</v>
      </c>
      <c r="F1117" s="4">
        <v>1125</v>
      </c>
      <c r="G1117" s="4" t="s">
        <v>2601</v>
      </c>
      <c r="H1117" s="25" t="s">
        <v>81</v>
      </c>
      <c r="I1117" s="4" t="s">
        <v>19</v>
      </c>
      <c r="J1117" s="8" t="s">
        <v>3</v>
      </c>
      <c r="K1117" s="1" t="s">
        <v>2603</v>
      </c>
    </row>
    <row r="1118" spans="2:11" ht="45" x14ac:dyDescent="0.25">
      <c r="B1118" s="1">
        <v>1143</v>
      </c>
      <c r="C1118" s="1" t="s">
        <v>1506</v>
      </c>
      <c r="D1118" s="1" t="s">
        <v>2582</v>
      </c>
      <c r="E1118" s="40">
        <v>595</v>
      </c>
      <c r="F1118" s="4">
        <v>595</v>
      </c>
      <c r="G1118" s="4" t="s">
        <v>2601</v>
      </c>
      <c r="H1118" s="25" t="s">
        <v>81</v>
      </c>
      <c r="I1118" s="4" t="s">
        <v>19</v>
      </c>
      <c r="J1118" s="8" t="s">
        <v>3</v>
      </c>
      <c r="K1118" s="1" t="s">
        <v>2604</v>
      </c>
    </row>
    <row r="1119" spans="2:11" ht="45" x14ac:dyDescent="0.25">
      <c r="B1119" s="1">
        <v>1144</v>
      </c>
      <c r="C1119" s="1" t="s">
        <v>986</v>
      </c>
      <c r="D1119" s="1" t="s">
        <v>543</v>
      </c>
      <c r="E1119" s="40">
        <v>950</v>
      </c>
      <c r="F1119" s="4">
        <v>950</v>
      </c>
      <c r="G1119" s="4" t="s">
        <v>2601</v>
      </c>
      <c r="H1119" s="25" t="s">
        <v>81</v>
      </c>
      <c r="I1119" s="4" t="s">
        <v>19</v>
      </c>
      <c r="J1119" s="8" t="s">
        <v>3</v>
      </c>
      <c r="K1119" s="1" t="s">
        <v>2605</v>
      </c>
    </row>
    <row r="1120" spans="2:11" ht="101.25" x14ac:dyDescent="0.25">
      <c r="B1120" s="1">
        <v>1145</v>
      </c>
      <c r="C1120" s="1" t="s">
        <v>547</v>
      </c>
      <c r="D1120" s="1" t="s">
        <v>2583</v>
      </c>
      <c r="E1120" s="40" t="s">
        <v>2649</v>
      </c>
      <c r="F1120" s="4">
        <v>1750</v>
      </c>
      <c r="G1120" s="4" t="s">
        <v>2601</v>
      </c>
      <c r="H1120" s="25" t="s">
        <v>81</v>
      </c>
      <c r="I1120" s="4" t="s">
        <v>19</v>
      </c>
      <c r="J1120" s="10" t="s">
        <v>566</v>
      </c>
      <c r="K1120" s="1" t="s">
        <v>2606</v>
      </c>
    </row>
    <row r="1121" spans="2:11" ht="45" x14ac:dyDescent="0.25">
      <c r="B1121" s="1">
        <v>1146</v>
      </c>
      <c r="C1121" s="1" t="s">
        <v>542</v>
      </c>
      <c r="D1121" s="1" t="s">
        <v>543</v>
      </c>
      <c r="E1121" s="40">
        <v>70</v>
      </c>
      <c r="F1121" s="4">
        <v>70</v>
      </c>
      <c r="G1121" s="4" t="s">
        <v>2601</v>
      </c>
      <c r="H1121" s="25" t="s">
        <v>81</v>
      </c>
      <c r="I1121" s="4" t="s">
        <v>19</v>
      </c>
      <c r="J1121" s="8" t="s">
        <v>3</v>
      </c>
      <c r="K1121" s="1" t="s">
        <v>2607</v>
      </c>
    </row>
    <row r="1122" spans="2:11" ht="101.25" x14ac:dyDescent="0.25">
      <c r="B1122" s="3">
        <v>1147</v>
      </c>
      <c r="C1122" s="1" t="s">
        <v>1929</v>
      </c>
      <c r="D1122" s="1" t="s">
        <v>2584</v>
      </c>
      <c r="E1122" s="40" t="s">
        <v>2635</v>
      </c>
      <c r="F1122" s="4">
        <v>1100000</v>
      </c>
      <c r="G1122" s="4" t="s">
        <v>2601</v>
      </c>
      <c r="H1122" s="25" t="s">
        <v>81</v>
      </c>
      <c r="I1122" s="4" t="s">
        <v>19</v>
      </c>
      <c r="J1122" s="10" t="s">
        <v>566</v>
      </c>
      <c r="K1122" s="1" t="s">
        <v>2608</v>
      </c>
    </row>
    <row r="1123" spans="2:11" ht="90" x14ac:dyDescent="0.25">
      <c r="B1123" s="3">
        <v>1148</v>
      </c>
      <c r="C1123" s="1" t="s">
        <v>2575</v>
      </c>
      <c r="D1123" s="1" t="s">
        <v>2585</v>
      </c>
      <c r="E1123" s="40" t="s">
        <v>2617</v>
      </c>
      <c r="F1123" s="4">
        <v>4405</v>
      </c>
      <c r="G1123" s="4" t="s">
        <v>2601</v>
      </c>
      <c r="H1123" s="25" t="s">
        <v>81</v>
      </c>
      <c r="I1123" s="4" t="s">
        <v>19</v>
      </c>
      <c r="J1123" s="10" t="s">
        <v>2385</v>
      </c>
      <c r="K1123" s="1" t="s">
        <v>2609</v>
      </c>
    </row>
    <row r="1124" spans="2:11" ht="45" x14ac:dyDescent="0.25">
      <c r="B1124" s="1">
        <v>1149</v>
      </c>
      <c r="C1124" s="1" t="s">
        <v>171</v>
      </c>
      <c r="D1124" s="1" t="s">
        <v>2262</v>
      </c>
      <c r="E1124" s="40" t="s">
        <v>2756</v>
      </c>
      <c r="F1124" s="4">
        <v>96</v>
      </c>
      <c r="G1124" s="4" t="s">
        <v>2610</v>
      </c>
      <c r="H1124" s="4" t="s">
        <v>81</v>
      </c>
      <c r="I1124" s="4" t="s">
        <v>19</v>
      </c>
      <c r="J1124" s="10" t="s">
        <v>11</v>
      </c>
      <c r="K1124" s="1" t="s">
        <v>2754</v>
      </c>
    </row>
    <row r="1125" spans="2:11" ht="45" x14ac:dyDescent="0.25">
      <c r="B1125" s="1">
        <v>1150</v>
      </c>
      <c r="C1125" s="1" t="s">
        <v>171</v>
      </c>
      <c r="D1125" s="1" t="s">
        <v>2262</v>
      </c>
      <c r="E1125" s="40">
        <v>90</v>
      </c>
      <c r="F1125" s="4">
        <v>90</v>
      </c>
      <c r="G1125" s="4" t="s">
        <v>2610</v>
      </c>
      <c r="H1125" s="4" t="s">
        <v>81</v>
      </c>
      <c r="I1125" s="4" t="s">
        <v>19</v>
      </c>
      <c r="J1125" s="10" t="s">
        <v>11</v>
      </c>
      <c r="K1125" s="1" t="s">
        <v>2755</v>
      </c>
    </row>
    <row r="1126" spans="2:11" ht="101.25" x14ac:dyDescent="0.25">
      <c r="B1126" s="3">
        <v>1151</v>
      </c>
      <c r="C1126" s="1" t="s">
        <v>2576</v>
      </c>
      <c r="D1126" s="1" t="s">
        <v>2586</v>
      </c>
      <c r="E1126" s="40" t="s">
        <v>2643</v>
      </c>
      <c r="F1126" s="4">
        <v>12000</v>
      </c>
      <c r="G1126" s="4" t="s">
        <v>2610</v>
      </c>
      <c r="H1126" s="4" t="s">
        <v>81</v>
      </c>
      <c r="I1126" s="4" t="s">
        <v>19</v>
      </c>
      <c r="J1126" s="10" t="s">
        <v>284</v>
      </c>
      <c r="K1126" s="1" t="s">
        <v>2642</v>
      </c>
    </row>
    <row r="1127" spans="2:11" ht="101.25" x14ac:dyDescent="0.25">
      <c r="B1127" s="3">
        <v>1152</v>
      </c>
      <c r="C1127" s="1" t="s">
        <v>492</v>
      </c>
      <c r="D1127" s="1" t="s">
        <v>2587</v>
      </c>
      <c r="E1127" s="40" t="s">
        <v>2751</v>
      </c>
      <c r="F1127" s="4">
        <v>7965</v>
      </c>
      <c r="G1127" s="4" t="s">
        <v>2611</v>
      </c>
      <c r="H1127" s="4" t="s">
        <v>81</v>
      </c>
      <c r="I1127" s="4" t="s">
        <v>19</v>
      </c>
      <c r="J1127" s="10" t="s">
        <v>566</v>
      </c>
      <c r="K1127" s="1" t="s">
        <v>2612</v>
      </c>
    </row>
    <row r="1128" spans="2:11" ht="45" x14ac:dyDescent="0.25">
      <c r="B1128" s="1">
        <v>1153</v>
      </c>
      <c r="C1128" s="1" t="s">
        <v>1544</v>
      </c>
      <c r="D1128" s="1" t="s">
        <v>2588</v>
      </c>
      <c r="E1128" s="40" t="s">
        <v>2659</v>
      </c>
      <c r="F1128" s="4">
        <v>92</v>
      </c>
      <c r="G1128" s="4" t="s">
        <v>2613</v>
      </c>
      <c r="H1128" s="4" t="s">
        <v>81</v>
      </c>
      <c r="I1128" s="4" t="s">
        <v>19</v>
      </c>
      <c r="J1128" s="10" t="s">
        <v>11</v>
      </c>
      <c r="K1128" s="1" t="s">
        <v>2658</v>
      </c>
    </row>
    <row r="1129" spans="2:11" ht="45" x14ac:dyDescent="0.25">
      <c r="B1129" s="1">
        <v>1154</v>
      </c>
      <c r="C1129" s="1" t="s">
        <v>395</v>
      </c>
      <c r="D1129" s="1" t="s">
        <v>2589</v>
      </c>
      <c r="E1129" s="40" t="s">
        <v>2482</v>
      </c>
      <c r="F1129" s="4">
        <v>3250</v>
      </c>
      <c r="G1129" s="4" t="s">
        <v>2613</v>
      </c>
      <c r="H1129" s="4" t="s">
        <v>81</v>
      </c>
      <c r="I1129" s="4" t="s">
        <v>19</v>
      </c>
      <c r="J1129" s="10" t="s">
        <v>11</v>
      </c>
      <c r="K1129" s="1" t="s">
        <v>2657</v>
      </c>
    </row>
    <row r="1130" spans="2:11" ht="101.25" x14ac:dyDescent="0.25">
      <c r="B1130" s="3">
        <v>1155</v>
      </c>
      <c r="C1130" s="1" t="s">
        <v>2577</v>
      </c>
      <c r="D1130" s="1" t="s">
        <v>2590</v>
      </c>
      <c r="E1130" s="40" t="s">
        <v>2634</v>
      </c>
      <c r="F1130" s="4">
        <v>679511</v>
      </c>
      <c r="G1130" s="4" t="s">
        <v>2614</v>
      </c>
      <c r="H1130" s="4" t="s">
        <v>26</v>
      </c>
      <c r="I1130" s="4" t="s">
        <v>19</v>
      </c>
      <c r="J1130" s="10" t="s">
        <v>566</v>
      </c>
      <c r="K1130" s="1" t="s">
        <v>2615</v>
      </c>
    </row>
    <row r="1131" spans="2:11" ht="45" x14ac:dyDescent="0.25">
      <c r="B1131" s="3">
        <v>1156</v>
      </c>
      <c r="C1131" s="1" t="s">
        <v>986</v>
      </c>
      <c r="D1131" s="1" t="s">
        <v>543</v>
      </c>
      <c r="E1131" s="40" t="s">
        <v>2652</v>
      </c>
      <c r="F1131" s="4">
        <v>1150</v>
      </c>
      <c r="G1131" s="4" t="s">
        <v>2614</v>
      </c>
      <c r="H1131" s="4" t="s">
        <v>81</v>
      </c>
      <c r="I1131" s="4" t="s">
        <v>19</v>
      </c>
      <c r="J1131" s="8" t="s">
        <v>3</v>
      </c>
      <c r="K1131" s="1" t="s">
        <v>2651</v>
      </c>
    </row>
    <row r="1132" spans="2:11" ht="45" x14ac:dyDescent="0.25">
      <c r="B1132" s="1">
        <v>1157</v>
      </c>
      <c r="C1132" s="1" t="s">
        <v>393</v>
      </c>
      <c r="D1132" s="1" t="s">
        <v>83</v>
      </c>
      <c r="E1132" s="40" t="s">
        <v>2444</v>
      </c>
      <c r="F1132" s="4">
        <v>1050</v>
      </c>
      <c r="G1132" s="4" t="s">
        <v>2614</v>
      </c>
      <c r="H1132" s="4" t="s">
        <v>81</v>
      </c>
      <c r="I1132" s="4" t="s">
        <v>19</v>
      </c>
      <c r="J1132" s="8" t="s">
        <v>3</v>
      </c>
      <c r="K1132" s="1" t="s">
        <v>2654</v>
      </c>
    </row>
    <row r="1133" spans="2:11" ht="45" x14ac:dyDescent="0.25">
      <c r="B1133" s="1">
        <v>1158</v>
      </c>
      <c r="C1133" s="1" t="s">
        <v>2578</v>
      </c>
      <c r="D1133" s="1" t="s">
        <v>2591</v>
      </c>
      <c r="E1133" s="40">
        <v>135.65</v>
      </c>
      <c r="F1133" s="4">
        <v>145</v>
      </c>
      <c r="G1133" s="4" t="s">
        <v>2616</v>
      </c>
      <c r="H1133" s="4" t="s">
        <v>26</v>
      </c>
      <c r="I1133" s="4" t="s">
        <v>19</v>
      </c>
      <c r="J1133" s="10" t="s">
        <v>11</v>
      </c>
      <c r="K1133" s="1" t="s">
        <v>2819</v>
      </c>
    </row>
    <row r="1134" spans="2:11" ht="45" x14ac:dyDescent="0.25">
      <c r="B1134" s="3">
        <v>1159</v>
      </c>
      <c r="C1134" s="1" t="s">
        <v>2660</v>
      </c>
      <c r="D1134" s="1" t="s">
        <v>2661</v>
      </c>
      <c r="E1134" s="40" t="s">
        <v>2750</v>
      </c>
      <c r="F1134" s="4">
        <v>3540</v>
      </c>
      <c r="G1134" s="4" t="s">
        <v>2688</v>
      </c>
      <c r="H1134" s="4" t="s">
        <v>26</v>
      </c>
      <c r="I1134" s="4" t="s">
        <v>19</v>
      </c>
      <c r="J1134" s="8" t="s">
        <v>3</v>
      </c>
      <c r="K1134" s="1" t="s">
        <v>2689</v>
      </c>
    </row>
    <row r="1135" spans="2:11" ht="101.25" x14ac:dyDescent="0.25">
      <c r="B1135" s="3">
        <v>1160</v>
      </c>
      <c r="C1135" s="1" t="s">
        <v>2662</v>
      </c>
      <c r="D1135" s="1" t="s">
        <v>2663</v>
      </c>
      <c r="E1135" s="40">
        <f>29106+19404</f>
        <v>48510</v>
      </c>
      <c r="F1135" s="4">
        <v>48510</v>
      </c>
      <c r="G1135" s="4" t="s">
        <v>2688</v>
      </c>
      <c r="H1135" s="4" t="s">
        <v>26</v>
      </c>
      <c r="I1135" s="4" t="s">
        <v>19</v>
      </c>
      <c r="J1135" s="10" t="s">
        <v>566</v>
      </c>
      <c r="K1135" s="1" t="s">
        <v>2690</v>
      </c>
    </row>
    <row r="1136" spans="2:11" ht="45" x14ac:dyDescent="0.25">
      <c r="B1136" s="1">
        <v>1161</v>
      </c>
      <c r="C1136" s="1" t="s">
        <v>623</v>
      </c>
      <c r="D1136" s="1" t="s">
        <v>104</v>
      </c>
      <c r="E1136" s="40" t="s">
        <v>2745</v>
      </c>
      <c r="F1136" s="4">
        <v>3408</v>
      </c>
      <c r="G1136" s="4" t="s">
        <v>2688</v>
      </c>
      <c r="H1136" s="4" t="s">
        <v>26</v>
      </c>
      <c r="I1136" s="4" t="s">
        <v>19</v>
      </c>
      <c r="J1136" s="8" t="s">
        <v>3</v>
      </c>
      <c r="K1136" s="1" t="s">
        <v>2691</v>
      </c>
    </row>
    <row r="1137" spans="2:11" ht="101.25" x14ac:dyDescent="0.25">
      <c r="B1137" s="1">
        <v>1162</v>
      </c>
      <c r="C1137" s="1" t="s">
        <v>2664</v>
      </c>
      <c r="D1137" s="1" t="s">
        <v>2665</v>
      </c>
      <c r="E1137" s="40">
        <v>767.24</v>
      </c>
      <c r="F1137" s="4">
        <v>830</v>
      </c>
      <c r="G1137" s="4" t="s">
        <v>2688</v>
      </c>
      <c r="H1137" s="4" t="s">
        <v>26</v>
      </c>
      <c r="I1137" s="4" t="s">
        <v>19</v>
      </c>
      <c r="J1137" s="10" t="s">
        <v>566</v>
      </c>
      <c r="K1137" s="1" t="s">
        <v>2692</v>
      </c>
    </row>
    <row r="1138" spans="2:11" ht="45" x14ac:dyDescent="0.15">
      <c r="B1138" s="3">
        <v>1163</v>
      </c>
      <c r="C1138" s="1" t="s">
        <v>1480</v>
      </c>
      <c r="D1138" s="1" t="s">
        <v>83</v>
      </c>
      <c r="E1138" s="79" t="s">
        <v>2646</v>
      </c>
      <c r="F1138" s="4">
        <v>2500</v>
      </c>
      <c r="G1138" s="4" t="s">
        <v>2693</v>
      </c>
      <c r="H1138" s="4" t="s">
        <v>26</v>
      </c>
      <c r="I1138" s="4" t="s">
        <v>19</v>
      </c>
      <c r="J1138" s="8" t="s">
        <v>3</v>
      </c>
      <c r="K1138" s="1" t="s">
        <v>2694</v>
      </c>
    </row>
    <row r="1139" spans="2:11" ht="45" x14ac:dyDescent="0.25">
      <c r="B1139" s="3">
        <v>1164</v>
      </c>
      <c r="C1139" s="1" t="s">
        <v>986</v>
      </c>
      <c r="D1139" s="1" t="s">
        <v>543</v>
      </c>
      <c r="E1139" s="40" t="s">
        <v>577</v>
      </c>
      <c r="F1139" s="4">
        <v>1600</v>
      </c>
      <c r="G1139" s="4" t="s">
        <v>2693</v>
      </c>
      <c r="H1139" s="4" t="s">
        <v>26</v>
      </c>
      <c r="I1139" s="4" t="s">
        <v>19</v>
      </c>
      <c r="J1139" s="8" t="s">
        <v>3</v>
      </c>
      <c r="K1139" s="1" t="s">
        <v>2695</v>
      </c>
    </row>
    <row r="1140" spans="2:11" ht="45" x14ac:dyDescent="0.25">
      <c r="B1140" s="1">
        <v>1165</v>
      </c>
      <c r="C1140" s="1" t="s">
        <v>645</v>
      </c>
      <c r="D1140" s="1" t="s">
        <v>89</v>
      </c>
      <c r="E1140" s="40" t="s">
        <v>2749</v>
      </c>
      <c r="F1140" s="4">
        <v>300</v>
      </c>
      <c r="G1140" s="4" t="s">
        <v>2693</v>
      </c>
      <c r="H1140" s="4" t="s">
        <v>26</v>
      </c>
      <c r="I1140" s="4" t="s">
        <v>19</v>
      </c>
      <c r="J1140" s="8" t="s">
        <v>3</v>
      </c>
      <c r="K1140" s="1" t="s">
        <v>2696</v>
      </c>
    </row>
    <row r="1141" spans="2:11" ht="56.25" customHeight="1" x14ac:dyDescent="0.25">
      <c r="B1141" s="1">
        <v>1166</v>
      </c>
      <c r="C1141" s="1" t="s">
        <v>2267</v>
      </c>
      <c r="D1141" s="1" t="s">
        <v>2666</v>
      </c>
      <c r="E1141" s="40" t="s">
        <v>2746</v>
      </c>
      <c r="F1141" s="4">
        <v>125</v>
      </c>
      <c r="G1141" s="4" t="s">
        <v>2693</v>
      </c>
      <c r="H1141" s="4" t="s">
        <v>26</v>
      </c>
      <c r="I1141" s="4" t="s">
        <v>19</v>
      </c>
      <c r="J1141" s="8" t="s">
        <v>7</v>
      </c>
      <c r="K1141" s="1" t="s">
        <v>2697</v>
      </c>
    </row>
    <row r="1142" spans="2:11" ht="45" x14ac:dyDescent="0.25">
      <c r="B1142" s="3">
        <v>1167</v>
      </c>
      <c r="C1142" s="1" t="s">
        <v>103</v>
      </c>
      <c r="D1142" s="1" t="s">
        <v>104</v>
      </c>
      <c r="E1142" s="40" t="s">
        <v>2764</v>
      </c>
      <c r="F1142" s="4">
        <v>533.79999999999995</v>
      </c>
      <c r="G1142" s="4" t="s">
        <v>2693</v>
      </c>
      <c r="H1142" s="4" t="s">
        <v>26</v>
      </c>
      <c r="I1142" s="4" t="s">
        <v>19</v>
      </c>
      <c r="J1142" s="8" t="s">
        <v>3</v>
      </c>
      <c r="K1142" s="1" t="s">
        <v>2698</v>
      </c>
    </row>
    <row r="1143" spans="2:11" ht="45" x14ac:dyDescent="0.25">
      <c r="B1143" s="3">
        <v>1168</v>
      </c>
      <c r="C1143" s="1" t="s">
        <v>103</v>
      </c>
      <c r="D1143" s="1" t="s">
        <v>104</v>
      </c>
      <c r="E1143" s="40" t="s">
        <v>2761</v>
      </c>
      <c r="F1143" s="4">
        <v>4940</v>
      </c>
      <c r="G1143" s="4" t="s">
        <v>2693</v>
      </c>
      <c r="H1143" s="4" t="s">
        <v>26</v>
      </c>
      <c r="I1143" s="4" t="s">
        <v>19</v>
      </c>
      <c r="J1143" s="8" t="s">
        <v>3</v>
      </c>
      <c r="K1143" s="1" t="s">
        <v>2699</v>
      </c>
    </row>
    <row r="1144" spans="2:11" ht="45.75" x14ac:dyDescent="0.25">
      <c r="B1144" s="1">
        <v>1169</v>
      </c>
      <c r="C1144" s="1" t="s">
        <v>631</v>
      </c>
      <c r="D1144" s="1" t="s">
        <v>632</v>
      </c>
      <c r="E1144" s="40">
        <v>80</v>
      </c>
      <c r="F1144" s="4">
        <v>80</v>
      </c>
      <c r="G1144" s="4" t="s">
        <v>2693</v>
      </c>
      <c r="H1144" s="4" t="s">
        <v>26</v>
      </c>
      <c r="I1144" s="4" t="s">
        <v>19</v>
      </c>
      <c r="J1144" s="8" t="s">
        <v>7</v>
      </c>
      <c r="K1144" s="1" t="s">
        <v>2700</v>
      </c>
    </row>
    <row r="1145" spans="2:11" ht="45" x14ac:dyDescent="0.25">
      <c r="B1145" s="1">
        <v>1170</v>
      </c>
      <c r="C1145" s="1" t="s">
        <v>103</v>
      </c>
      <c r="D1145" s="1" t="s">
        <v>104</v>
      </c>
      <c r="E1145" s="40" t="s">
        <v>2765</v>
      </c>
      <c r="F1145" s="4">
        <v>4590</v>
      </c>
      <c r="G1145" s="4" t="s">
        <v>2693</v>
      </c>
      <c r="H1145" s="4" t="s">
        <v>26</v>
      </c>
      <c r="I1145" s="4" t="s">
        <v>19</v>
      </c>
      <c r="J1145" s="8" t="s">
        <v>3</v>
      </c>
      <c r="K1145" s="1" t="s">
        <v>2701</v>
      </c>
    </row>
    <row r="1146" spans="2:11" ht="45" x14ac:dyDescent="0.25">
      <c r="B1146" s="3">
        <v>1171</v>
      </c>
      <c r="C1146" s="1" t="s">
        <v>167</v>
      </c>
      <c r="D1146" s="1" t="s">
        <v>89</v>
      </c>
      <c r="E1146" s="40">
        <f>271.7+243.1</f>
        <v>514.79999999999995</v>
      </c>
      <c r="F1146" s="4">
        <v>1250</v>
      </c>
      <c r="G1146" s="4" t="s">
        <v>2702</v>
      </c>
      <c r="H1146" s="4" t="s">
        <v>26</v>
      </c>
      <c r="I1146" s="4" t="s">
        <v>19</v>
      </c>
      <c r="J1146" s="8" t="s">
        <v>3</v>
      </c>
      <c r="K1146" s="1" t="s">
        <v>2703</v>
      </c>
    </row>
    <row r="1147" spans="2:11" ht="45" x14ac:dyDescent="0.25">
      <c r="B1147" s="3">
        <v>1172</v>
      </c>
      <c r="C1147" s="1" t="s">
        <v>542</v>
      </c>
      <c r="D1147" s="1" t="s">
        <v>543</v>
      </c>
      <c r="E1147" s="40">
        <v>780</v>
      </c>
      <c r="F1147" s="4">
        <v>780</v>
      </c>
      <c r="G1147" s="4" t="s">
        <v>2702</v>
      </c>
      <c r="H1147" s="4" t="s">
        <v>26</v>
      </c>
      <c r="I1147" s="4" t="s">
        <v>19</v>
      </c>
      <c r="J1147" s="8" t="s">
        <v>3</v>
      </c>
      <c r="K1147" s="1" t="s">
        <v>2704</v>
      </c>
    </row>
    <row r="1148" spans="2:11" ht="45" x14ac:dyDescent="0.25">
      <c r="B1148" s="1">
        <v>1173</v>
      </c>
      <c r="C1148" s="1" t="s">
        <v>444</v>
      </c>
      <c r="D1148" s="1" t="s">
        <v>543</v>
      </c>
      <c r="E1148" s="40" t="s">
        <v>2773</v>
      </c>
      <c r="F1148" s="4">
        <v>4350</v>
      </c>
      <c r="G1148" s="4" t="s">
        <v>2702</v>
      </c>
      <c r="H1148" s="4" t="s">
        <v>26</v>
      </c>
      <c r="I1148" s="4" t="s">
        <v>19</v>
      </c>
      <c r="J1148" s="8" t="s">
        <v>3</v>
      </c>
      <c r="K1148" s="1" t="s">
        <v>2705</v>
      </c>
    </row>
    <row r="1149" spans="2:11" ht="45" x14ac:dyDescent="0.25">
      <c r="B1149" s="1">
        <v>1174</v>
      </c>
      <c r="C1149" s="1" t="s">
        <v>2667</v>
      </c>
      <c r="D1149" s="1" t="s">
        <v>83</v>
      </c>
      <c r="E1149" s="40" t="s">
        <v>2774</v>
      </c>
      <c r="F1149" s="4">
        <v>3775</v>
      </c>
      <c r="G1149" s="4" t="s">
        <v>2702</v>
      </c>
      <c r="H1149" s="4" t="s">
        <v>26</v>
      </c>
      <c r="I1149" s="4" t="s">
        <v>19</v>
      </c>
      <c r="J1149" s="8" t="s">
        <v>3</v>
      </c>
      <c r="K1149" s="1" t="s">
        <v>2706</v>
      </c>
    </row>
    <row r="1150" spans="2:11" ht="45" x14ac:dyDescent="0.25">
      <c r="B1150" s="3">
        <v>1175</v>
      </c>
      <c r="C1150" s="1" t="s">
        <v>497</v>
      </c>
      <c r="D1150" s="1" t="s">
        <v>89</v>
      </c>
      <c r="E1150" s="40" t="s">
        <v>2763</v>
      </c>
      <c r="F1150" s="4">
        <v>300</v>
      </c>
      <c r="G1150" s="4" t="s">
        <v>2702</v>
      </c>
      <c r="H1150" s="4" t="s">
        <v>26</v>
      </c>
      <c r="I1150" s="4" t="s">
        <v>19</v>
      </c>
      <c r="J1150" s="8" t="s">
        <v>3</v>
      </c>
      <c r="K1150" s="1" t="s">
        <v>2707</v>
      </c>
    </row>
    <row r="1151" spans="2:11" ht="45.75" x14ac:dyDescent="0.25">
      <c r="B1151" s="3">
        <v>1176</v>
      </c>
      <c r="C1151" s="1" t="s">
        <v>2668</v>
      </c>
      <c r="D1151" s="1" t="s">
        <v>2669</v>
      </c>
      <c r="E1151" s="40">
        <v>220</v>
      </c>
      <c r="F1151" s="4">
        <v>220</v>
      </c>
      <c r="G1151" s="4" t="s">
        <v>2702</v>
      </c>
      <c r="H1151" s="4" t="s">
        <v>26</v>
      </c>
      <c r="I1151" s="4" t="s">
        <v>19</v>
      </c>
      <c r="J1151" s="8" t="s">
        <v>7</v>
      </c>
      <c r="K1151" s="1" t="s">
        <v>2708</v>
      </c>
    </row>
    <row r="1152" spans="2:11" ht="45" x14ac:dyDescent="0.25">
      <c r="B1152" s="1">
        <v>1177</v>
      </c>
      <c r="C1152" s="1" t="s">
        <v>645</v>
      </c>
      <c r="D1152" s="1" t="s">
        <v>89</v>
      </c>
      <c r="E1152" s="40">
        <v>419.1</v>
      </c>
      <c r="F1152" s="4">
        <v>420</v>
      </c>
      <c r="G1152" s="4" t="s">
        <v>2702</v>
      </c>
      <c r="H1152" s="4" t="s">
        <v>26</v>
      </c>
      <c r="I1152" s="4" t="s">
        <v>19</v>
      </c>
      <c r="J1152" s="8" t="s">
        <v>3</v>
      </c>
      <c r="K1152" s="1" t="s">
        <v>2709</v>
      </c>
    </row>
    <row r="1153" spans="2:11" ht="45" x14ac:dyDescent="0.25">
      <c r="B1153" s="1">
        <v>1178</v>
      </c>
      <c r="C1153" s="1" t="s">
        <v>2670</v>
      </c>
      <c r="D1153" s="1" t="s">
        <v>89</v>
      </c>
      <c r="E1153" s="40" t="s">
        <v>2796</v>
      </c>
      <c r="F1153" s="4">
        <v>344.3</v>
      </c>
      <c r="G1153" s="4" t="s">
        <v>2702</v>
      </c>
      <c r="H1153" s="4" t="s">
        <v>26</v>
      </c>
      <c r="I1153" s="4" t="s">
        <v>19</v>
      </c>
      <c r="J1153" s="8" t="s">
        <v>3</v>
      </c>
      <c r="K1153" s="1" t="s">
        <v>2710</v>
      </c>
    </row>
    <row r="1154" spans="2:11" ht="45" x14ac:dyDescent="0.25">
      <c r="B1154" s="3">
        <v>1179</v>
      </c>
      <c r="C1154" s="1" t="s">
        <v>801</v>
      </c>
      <c r="D1154" s="1" t="s">
        <v>89</v>
      </c>
      <c r="E1154" s="40" t="s">
        <v>2768</v>
      </c>
      <c r="F1154" s="4">
        <v>350</v>
      </c>
      <c r="G1154" s="4" t="s">
        <v>2702</v>
      </c>
      <c r="H1154" s="4" t="s">
        <v>26</v>
      </c>
      <c r="I1154" s="4" t="s">
        <v>19</v>
      </c>
      <c r="J1154" s="8" t="s">
        <v>3</v>
      </c>
      <c r="K1154" s="1" t="s">
        <v>2711</v>
      </c>
    </row>
    <row r="1155" spans="2:11" ht="45" x14ac:dyDescent="0.25">
      <c r="B1155" s="3">
        <v>1180</v>
      </c>
      <c r="C1155" s="1" t="s">
        <v>986</v>
      </c>
      <c r="D1155" s="1" t="s">
        <v>543</v>
      </c>
      <c r="E1155" s="40" t="s">
        <v>521</v>
      </c>
      <c r="F1155" s="4">
        <v>1400</v>
      </c>
      <c r="G1155" s="4" t="s">
        <v>2702</v>
      </c>
      <c r="H1155" s="4" t="s">
        <v>26</v>
      </c>
      <c r="I1155" s="4" t="s">
        <v>19</v>
      </c>
      <c r="J1155" s="8" t="s">
        <v>3</v>
      </c>
      <c r="K1155" s="1" t="s">
        <v>2712</v>
      </c>
    </row>
    <row r="1156" spans="2:11" ht="45" x14ac:dyDescent="0.25">
      <c r="B1156" s="1">
        <v>1181</v>
      </c>
      <c r="C1156" s="1" t="s">
        <v>2671</v>
      </c>
      <c r="D1156" s="1" t="s">
        <v>89</v>
      </c>
      <c r="E1156" s="40" t="s">
        <v>2766</v>
      </c>
      <c r="F1156" s="4">
        <v>420</v>
      </c>
      <c r="G1156" s="4" t="s">
        <v>2702</v>
      </c>
      <c r="H1156" s="4" t="s">
        <v>26</v>
      </c>
      <c r="I1156" s="4" t="s">
        <v>19</v>
      </c>
      <c r="J1156" s="8" t="s">
        <v>3</v>
      </c>
      <c r="K1156" s="1" t="s">
        <v>2713</v>
      </c>
    </row>
    <row r="1157" spans="2:11" ht="45" x14ac:dyDescent="0.25">
      <c r="B1157" s="1">
        <v>1182</v>
      </c>
      <c r="C1157" s="1" t="s">
        <v>2672</v>
      </c>
      <c r="D1157" s="1" t="s">
        <v>89</v>
      </c>
      <c r="E1157" s="40" t="s">
        <v>1858</v>
      </c>
      <c r="F1157" s="4">
        <v>350</v>
      </c>
      <c r="G1157" s="4" t="s">
        <v>2702</v>
      </c>
      <c r="H1157" s="4" t="s">
        <v>26</v>
      </c>
      <c r="I1157" s="4" t="s">
        <v>19</v>
      </c>
      <c r="J1157" s="8" t="s">
        <v>3</v>
      </c>
      <c r="K1157" s="1" t="s">
        <v>2714</v>
      </c>
    </row>
    <row r="1158" spans="2:11" ht="45" x14ac:dyDescent="0.25">
      <c r="B1158" s="3">
        <v>1183</v>
      </c>
      <c r="C1158" s="1" t="s">
        <v>2673</v>
      </c>
      <c r="D1158" s="1" t="s">
        <v>89</v>
      </c>
      <c r="E1158" s="40">
        <v>350</v>
      </c>
      <c r="F1158" s="4">
        <v>350</v>
      </c>
      <c r="G1158" s="4" t="s">
        <v>2702</v>
      </c>
      <c r="H1158" s="4" t="s">
        <v>26</v>
      </c>
      <c r="I1158" s="4" t="s">
        <v>19</v>
      </c>
      <c r="J1158" s="8" t="s">
        <v>3</v>
      </c>
      <c r="K1158" s="1" t="s">
        <v>2715</v>
      </c>
    </row>
    <row r="1159" spans="2:11" ht="67.5" customHeight="1" x14ac:dyDescent="0.25">
      <c r="B1159" s="3">
        <v>1184</v>
      </c>
      <c r="C1159" s="1" t="s">
        <v>170</v>
      </c>
      <c r="D1159" s="1" t="s">
        <v>83</v>
      </c>
      <c r="E1159" s="40" t="s">
        <v>2064</v>
      </c>
      <c r="F1159" s="4">
        <v>1100</v>
      </c>
      <c r="G1159" s="4" t="s">
        <v>2702</v>
      </c>
      <c r="H1159" s="4" t="s">
        <v>26</v>
      </c>
      <c r="I1159" s="4" t="s">
        <v>19</v>
      </c>
      <c r="J1159" s="8" t="s">
        <v>3</v>
      </c>
      <c r="K1159" s="1" t="s">
        <v>2716</v>
      </c>
    </row>
    <row r="1160" spans="2:11" ht="45" x14ac:dyDescent="0.25">
      <c r="B1160" s="1">
        <v>1185</v>
      </c>
      <c r="C1160" s="1" t="s">
        <v>103</v>
      </c>
      <c r="D1160" s="1" t="s">
        <v>104</v>
      </c>
      <c r="E1160" s="40" t="s">
        <v>2762</v>
      </c>
      <c r="F1160" s="4">
        <v>3642.4</v>
      </c>
      <c r="G1160" s="4" t="s">
        <v>2702</v>
      </c>
      <c r="H1160" s="4" t="s">
        <v>26</v>
      </c>
      <c r="I1160" s="4" t="s">
        <v>19</v>
      </c>
      <c r="J1160" s="8" t="s">
        <v>3</v>
      </c>
      <c r="K1160" s="1" t="s">
        <v>2717</v>
      </c>
    </row>
    <row r="1161" spans="2:11" ht="45" x14ac:dyDescent="0.25">
      <c r="B1161" s="3">
        <v>1187</v>
      </c>
      <c r="C1161" s="1" t="s">
        <v>2674</v>
      </c>
      <c r="D1161" s="1" t="s">
        <v>85</v>
      </c>
      <c r="E1161" s="40" t="s">
        <v>579</v>
      </c>
      <c r="F1161" s="4">
        <v>2000</v>
      </c>
      <c r="G1161" s="4" t="s">
        <v>2718</v>
      </c>
      <c r="H1161" s="4" t="s">
        <v>26</v>
      </c>
      <c r="I1161" s="4" t="s">
        <v>19</v>
      </c>
      <c r="J1161" s="8" t="s">
        <v>3</v>
      </c>
      <c r="K1161" s="1" t="s">
        <v>2719</v>
      </c>
    </row>
    <row r="1162" spans="2:11" ht="45" x14ac:dyDescent="0.25">
      <c r="B1162" s="1">
        <v>1188</v>
      </c>
      <c r="C1162" s="1" t="s">
        <v>970</v>
      </c>
      <c r="D1162" s="1" t="s">
        <v>85</v>
      </c>
      <c r="E1162" s="40" t="s">
        <v>2771</v>
      </c>
      <c r="F1162" s="4">
        <v>2077.1999999999998</v>
      </c>
      <c r="G1162" s="4" t="s">
        <v>2718</v>
      </c>
      <c r="H1162" s="4" t="s">
        <v>26</v>
      </c>
      <c r="I1162" s="4" t="s">
        <v>19</v>
      </c>
      <c r="J1162" s="8" t="s">
        <v>3</v>
      </c>
      <c r="K1162" s="1" t="s">
        <v>2720</v>
      </c>
    </row>
    <row r="1163" spans="2:11" ht="45" x14ac:dyDescent="0.25">
      <c r="B1163" s="1">
        <v>1189</v>
      </c>
      <c r="C1163" s="1" t="s">
        <v>970</v>
      </c>
      <c r="D1163" s="1" t="s">
        <v>89</v>
      </c>
      <c r="E1163" s="40" t="s">
        <v>2769</v>
      </c>
      <c r="F1163" s="4" t="s">
        <v>2770</v>
      </c>
      <c r="G1163" s="4" t="s">
        <v>2718</v>
      </c>
      <c r="H1163" s="4" t="s">
        <v>26</v>
      </c>
      <c r="I1163" s="4" t="s">
        <v>19</v>
      </c>
      <c r="J1163" s="8" t="s">
        <v>3</v>
      </c>
      <c r="K1163" s="1" t="s">
        <v>2721</v>
      </c>
    </row>
    <row r="1164" spans="2:11" ht="45" x14ac:dyDescent="0.25">
      <c r="B1164" s="3">
        <v>1190</v>
      </c>
      <c r="C1164" s="1" t="s">
        <v>645</v>
      </c>
      <c r="D1164" s="1" t="s">
        <v>89</v>
      </c>
      <c r="E1164" s="40" t="s">
        <v>2775</v>
      </c>
      <c r="F1164" s="4">
        <v>360</v>
      </c>
      <c r="G1164" s="4" t="s">
        <v>2718</v>
      </c>
      <c r="H1164" s="4" t="s">
        <v>26</v>
      </c>
      <c r="I1164" s="4" t="s">
        <v>19</v>
      </c>
      <c r="J1164" s="8" t="s">
        <v>3</v>
      </c>
      <c r="K1164" s="1" t="s">
        <v>2722</v>
      </c>
    </row>
    <row r="1165" spans="2:11" ht="101.25" x14ac:dyDescent="0.25">
      <c r="B1165" s="1">
        <v>1191</v>
      </c>
      <c r="C1165" s="1" t="s">
        <v>489</v>
      </c>
      <c r="D1165" s="1" t="s">
        <v>1473</v>
      </c>
      <c r="E1165" s="40" t="s">
        <v>428</v>
      </c>
      <c r="F1165" s="4">
        <v>1500</v>
      </c>
      <c r="G1165" s="4" t="s">
        <v>2718</v>
      </c>
      <c r="H1165" s="4" t="s">
        <v>26</v>
      </c>
      <c r="I1165" s="4" t="s">
        <v>19</v>
      </c>
      <c r="J1165" s="10" t="s">
        <v>566</v>
      </c>
      <c r="K1165" s="1" t="s">
        <v>2723</v>
      </c>
    </row>
    <row r="1166" spans="2:11" ht="101.25" x14ac:dyDescent="0.25">
      <c r="B1166" s="1">
        <v>1192</v>
      </c>
      <c r="C1166" s="1" t="s">
        <v>1546</v>
      </c>
      <c r="D1166" s="1" t="s">
        <v>2675</v>
      </c>
      <c r="E1166" s="40" t="s">
        <v>2820</v>
      </c>
      <c r="F1166" s="4">
        <v>68773</v>
      </c>
      <c r="G1166" s="4" t="s">
        <v>2724</v>
      </c>
      <c r="H1166" s="4" t="s">
        <v>26</v>
      </c>
      <c r="I1166" s="4" t="s">
        <v>19</v>
      </c>
      <c r="J1166" s="10" t="s">
        <v>284</v>
      </c>
      <c r="K1166" s="1" t="s">
        <v>2725</v>
      </c>
    </row>
    <row r="1167" spans="2:11" ht="45" x14ac:dyDescent="0.25">
      <c r="B1167" s="3">
        <v>1193</v>
      </c>
      <c r="C1167" s="1" t="s">
        <v>1506</v>
      </c>
      <c r="D1167" s="1" t="s">
        <v>297</v>
      </c>
      <c r="E1167" s="40">
        <v>425</v>
      </c>
      <c r="F1167" s="4">
        <v>425</v>
      </c>
      <c r="G1167" s="4" t="s">
        <v>2726</v>
      </c>
      <c r="H1167" s="4" t="s">
        <v>26</v>
      </c>
      <c r="I1167" s="4" t="s">
        <v>19</v>
      </c>
      <c r="J1167" s="8" t="s">
        <v>3</v>
      </c>
      <c r="K1167" s="1" t="s">
        <v>2727</v>
      </c>
    </row>
    <row r="1168" spans="2:11" ht="45" x14ac:dyDescent="0.25">
      <c r="B1168" s="1">
        <v>1194</v>
      </c>
      <c r="C1168" s="1" t="s">
        <v>986</v>
      </c>
      <c r="D1168" s="1" t="s">
        <v>543</v>
      </c>
      <c r="E1168" s="40" t="s">
        <v>228</v>
      </c>
      <c r="F1168" s="4">
        <v>70</v>
      </c>
      <c r="G1168" s="4" t="s">
        <v>2726</v>
      </c>
      <c r="H1168" s="4" t="s">
        <v>26</v>
      </c>
      <c r="I1168" s="4" t="s">
        <v>19</v>
      </c>
      <c r="J1168" s="8" t="s">
        <v>3</v>
      </c>
      <c r="K1168" s="1" t="s">
        <v>2728</v>
      </c>
    </row>
    <row r="1169" spans="2:11" ht="45.75" x14ac:dyDescent="0.25">
      <c r="B1169" s="1">
        <v>1195</v>
      </c>
      <c r="C1169" s="1" t="s">
        <v>2676</v>
      </c>
      <c r="D1169" s="1" t="s">
        <v>2677</v>
      </c>
      <c r="E1169" s="40" t="s">
        <v>507</v>
      </c>
      <c r="F1169" s="4">
        <v>50</v>
      </c>
      <c r="G1169" s="4" t="s">
        <v>2729</v>
      </c>
      <c r="H1169" s="4" t="s">
        <v>26</v>
      </c>
      <c r="I1169" s="4" t="s">
        <v>19</v>
      </c>
      <c r="J1169" s="8" t="s">
        <v>7</v>
      </c>
      <c r="K1169" s="1" t="s">
        <v>2730</v>
      </c>
    </row>
    <row r="1170" spans="2:11" ht="45.75" x14ac:dyDescent="0.25">
      <c r="B1170" s="3">
        <v>1196</v>
      </c>
      <c r="C1170" s="1" t="s">
        <v>2678</v>
      </c>
      <c r="D1170" s="1" t="s">
        <v>2679</v>
      </c>
      <c r="E1170" s="40">
        <v>237.2</v>
      </c>
      <c r="F1170" s="4">
        <v>237.2</v>
      </c>
      <c r="G1170" s="4" t="s">
        <v>2729</v>
      </c>
      <c r="H1170" s="4" t="s">
        <v>26</v>
      </c>
      <c r="I1170" s="4" t="s">
        <v>19</v>
      </c>
      <c r="J1170" s="8" t="s">
        <v>7</v>
      </c>
      <c r="K1170" s="1" t="s">
        <v>2731</v>
      </c>
    </row>
    <row r="1171" spans="2:11" ht="101.25" x14ac:dyDescent="0.25">
      <c r="B1171" s="1">
        <v>1197</v>
      </c>
      <c r="C1171" s="1" t="s">
        <v>265</v>
      </c>
      <c r="D1171" s="1" t="s">
        <v>2680</v>
      </c>
      <c r="E1171" s="40" t="s">
        <v>2818</v>
      </c>
      <c r="F1171" s="4">
        <v>3880</v>
      </c>
      <c r="G1171" s="4" t="s">
        <v>2729</v>
      </c>
      <c r="H1171" s="4" t="s">
        <v>26</v>
      </c>
      <c r="I1171" s="4" t="s">
        <v>19</v>
      </c>
      <c r="J1171" s="10" t="s">
        <v>284</v>
      </c>
      <c r="K1171" s="1" t="s">
        <v>2732</v>
      </c>
    </row>
    <row r="1172" spans="2:11" ht="45" x14ac:dyDescent="0.25">
      <c r="B1172" s="1">
        <v>1198</v>
      </c>
      <c r="C1172" s="1" t="s">
        <v>1506</v>
      </c>
      <c r="D1172" s="1" t="s">
        <v>297</v>
      </c>
      <c r="E1172" s="40" t="s">
        <v>2772</v>
      </c>
      <c r="F1172" s="4">
        <v>4300</v>
      </c>
      <c r="G1172" s="4" t="s">
        <v>2733</v>
      </c>
      <c r="H1172" s="4" t="s">
        <v>26</v>
      </c>
      <c r="I1172" s="4" t="s">
        <v>19</v>
      </c>
      <c r="J1172" s="8" t="s">
        <v>3</v>
      </c>
      <c r="K1172" s="1" t="s">
        <v>2734</v>
      </c>
    </row>
    <row r="1173" spans="2:11" ht="45" x14ac:dyDescent="0.25">
      <c r="B1173" s="3">
        <v>1199</v>
      </c>
      <c r="C1173" s="1" t="s">
        <v>1506</v>
      </c>
      <c r="D1173" s="1" t="s">
        <v>297</v>
      </c>
      <c r="E1173" s="40">
        <v>900</v>
      </c>
      <c r="F1173" s="4">
        <v>900</v>
      </c>
      <c r="G1173" s="4" t="s">
        <v>2733</v>
      </c>
      <c r="H1173" s="4" t="s">
        <v>26</v>
      </c>
      <c r="I1173" s="4" t="s">
        <v>19</v>
      </c>
      <c r="J1173" s="8" t="s">
        <v>3</v>
      </c>
      <c r="K1173" s="1" t="s">
        <v>2735</v>
      </c>
    </row>
    <row r="1174" spans="2:11" ht="45" x14ac:dyDescent="0.25">
      <c r="B1174" s="1">
        <v>1200</v>
      </c>
      <c r="C1174" s="1" t="s">
        <v>542</v>
      </c>
      <c r="D1174" s="1" t="s">
        <v>543</v>
      </c>
      <c r="E1174" s="40">
        <v>630</v>
      </c>
      <c r="F1174" s="4">
        <v>630</v>
      </c>
      <c r="G1174" s="4" t="s">
        <v>2733</v>
      </c>
      <c r="H1174" s="4" t="s">
        <v>26</v>
      </c>
      <c r="I1174" s="4" t="s">
        <v>19</v>
      </c>
      <c r="J1174" s="8" t="s">
        <v>3</v>
      </c>
      <c r="K1174" s="1" t="s">
        <v>2736</v>
      </c>
    </row>
    <row r="1175" spans="2:11" ht="45.75" x14ac:dyDescent="0.25">
      <c r="B1175" s="1">
        <v>1201</v>
      </c>
      <c r="C1175" s="1" t="s">
        <v>2681</v>
      </c>
      <c r="D1175" s="1" t="s">
        <v>2682</v>
      </c>
      <c r="E1175" s="40" t="s">
        <v>2821</v>
      </c>
      <c r="F1175" s="4">
        <v>248</v>
      </c>
      <c r="G1175" s="4" t="s">
        <v>2733</v>
      </c>
      <c r="H1175" s="4" t="s">
        <v>26</v>
      </c>
      <c r="I1175" s="4" t="s">
        <v>19</v>
      </c>
      <c r="J1175" s="8" t="s">
        <v>7</v>
      </c>
      <c r="K1175" s="1" t="s">
        <v>2737</v>
      </c>
    </row>
    <row r="1176" spans="2:11" ht="101.25" x14ac:dyDescent="0.25">
      <c r="B1176" s="3">
        <v>1202</v>
      </c>
      <c r="C1176" s="1" t="s">
        <v>1503</v>
      </c>
      <c r="D1176" s="1" t="s">
        <v>2683</v>
      </c>
      <c r="E1176" s="40" t="s">
        <v>912</v>
      </c>
      <c r="F1176" s="4">
        <v>4000</v>
      </c>
      <c r="G1176" s="4" t="s">
        <v>2738</v>
      </c>
      <c r="H1176" s="4" t="s">
        <v>26</v>
      </c>
      <c r="I1176" s="4" t="s">
        <v>19</v>
      </c>
      <c r="J1176" s="10" t="s">
        <v>566</v>
      </c>
      <c r="K1176" s="1" t="s">
        <v>2739</v>
      </c>
    </row>
    <row r="1177" spans="2:11" ht="45.75" x14ac:dyDescent="0.25">
      <c r="B1177" s="1">
        <v>1203</v>
      </c>
      <c r="C1177" s="1" t="s">
        <v>2681</v>
      </c>
      <c r="D1177" s="1" t="s">
        <v>2684</v>
      </c>
      <c r="E1177" s="40" t="s">
        <v>2795</v>
      </c>
      <c r="F1177" s="4">
        <v>956</v>
      </c>
      <c r="G1177" s="4" t="s">
        <v>2740</v>
      </c>
      <c r="H1177" s="4" t="s">
        <v>26</v>
      </c>
      <c r="I1177" s="4" t="s">
        <v>19</v>
      </c>
      <c r="J1177" s="8" t="s">
        <v>7</v>
      </c>
      <c r="K1177" s="1" t="s">
        <v>2741</v>
      </c>
    </row>
    <row r="1178" spans="2:11" ht="45.75" x14ac:dyDescent="0.25">
      <c r="B1178" s="1">
        <v>1204</v>
      </c>
      <c r="C1178" s="1" t="s">
        <v>2685</v>
      </c>
      <c r="D1178" s="1" t="s">
        <v>2684</v>
      </c>
      <c r="E1178" s="40" t="s">
        <v>2794</v>
      </c>
      <c r="F1178" s="4">
        <v>595</v>
      </c>
      <c r="G1178" s="4" t="s">
        <v>2740</v>
      </c>
      <c r="H1178" s="4" t="s">
        <v>26</v>
      </c>
      <c r="I1178" s="4" t="s">
        <v>19</v>
      </c>
      <c r="J1178" s="8" t="s">
        <v>7</v>
      </c>
      <c r="K1178" s="1" t="s">
        <v>2742</v>
      </c>
    </row>
    <row r="1179" spans="2:11" ht="101.25" x14ac:dyDescent="0.25">
      <c r="B1179" s="3">
        <v>1205</v>
      </c>
      <c r="C1179" s="1" t="s">
        <v>2686</v>
      </c>
      <c r="D1179" s="62" t="s">
        <v>1235</v>
      </c>
      <c r="E1179" s="40" t="s">
        <v>2817</v>
      </c>
      <c r="F1179" s="4">
        <v>195404</v>
      </c>
      <c r="G1179" s="4" t="s">
        <v>2740</v>
      </c>
      <c r="H1179" s="4" t="s">
        <v>26</v>
      </c>
      <c r="I1179" s="4" t="s">
        <v>19</v>
      </c>
      <c r="J1179" s="10" t="s">
        <v>566</v>
      </c>
      <c r="K1179" s="1" t="s">
        <v>2743</v>
      </c>
    </row>
    <row r="1180" spans="2:11" ht="45" x14ac:dyDescent="0.25">
      <c r="B1180" s="1">
        <v>1206</v>
      </c>
      <c r="C1180" s="1" t="s">
        <v>2687</v>
      </c>
      <c r="D1180" s="1" t="s">
        <v>89</v>
      </c>
      <c r="E1180" s="40" t="s">
        <v>514</v>
      </c>
      <c r="F1180" s="4">
        <v>1500</v>
      </c>
      <c r="G1180" s="4" t="s">
        <v>2744</v>
      </c>
      <c r="H1180" s="4" t="s">
        <v>26</v>
      </c>
      <c r="I1180" s="4" t="s">
        <v>19</v>
      </c>
      <c r="J1180" s="8" t="s">
        <v>3</v>
      </c>
      <c r="K1180" s="1" t="s">
        <v>2797</v>
      </c>
    </row>
    <row r="1181" spans="2:11" ht="45" x14ac:dyDescent="0.25">
      <c r="B1181" s="1">
        <v>1207</v>
      </c>
      <c r="C1181" s="1" t="s">
        <v>2687</v>
      </c>
      <c r="D1181" s="1" t="s">
        <v>297</v>
      </c>
      <c r="E1181" s="40" t="s">
        <v>2816</v>
      </c>
      <c r="F1181" s="4">
        <v>500</v>
      </c>
      <c r="G1181" s="4" t="s">
        <v>2744</v>
      </c>
      <c r="H1181" s="4" t="s">
        <v>26</v>
      </c>
      <c r="I1181" s="4" t="s">
        <v>19</v>
      </c>
      <c r="J1181" s="8" t="s">
        <v>3</v>
      </c>
      <c r="K1181" s="1" t="s">
        <v>2806</v>
      </c>
    </row>
    <row r="1182" spans="2:11" ht="45.75" x14ac:dyDescent="0.25">
      <c r="B1182" s="3">
        <v>1208</v>
      </c>
      <c r="C1182" s="1" t="s">
        <v>2798</v>
      </c>
      <c r="D1182" s="1" t="s">
        <v>2802</v>
      </c>
      <c r="E1182" s="40" t="s">
        <v>1771</v>
      </c>
      <c r="F1182" s="4">
        <v>100</v>
      </c>
      <c r="G1182" s="4" t="s">
        <v>2807</v>
      </c>
      <c r="H1182" s="4" t="s">
        <v>2808</v>
      </c>
      <c r="I1182" s="4" t="s">
        <v>19</v>
      </c>
      <c r="J1182" s="8" t="s">
        <v>7</v>
      </c>
      <c r="K1182" s="1" t="s">
        <v>2809</v>
      </c>
    </row>
    <row r="1183" spans="2:11" ht="45.75" x14ac:dyDescent="0.25">
      <c r="B1183" s="1">
        <v>1209</v>
      </c>
      <c r="C1183" s="1" t="s">
        <v>1217</v>
      </c>
      <c r="D1183" s="1" t="s">
        <v>2803</v>
      </c>
      <c r="E1183" s="40">
        <f>1500+80</f>
        <v>1580</v>
      </c>
      <c r="F1183" s="4">
        <v>1580</v>
      </c>
      <c r="G1183" s="4" t="s">
        <v>2810</v>
      </c>
      <c r="H1183" s="4" t="s">
        <v>26</v>
      </c>
      <c r="I1183" s="4" t="s">
        <v>19</v>
      </c>
      <c r="J1183" s="8" t="s">
        <v>7</v>
      </c>
      <c r="K1183" s="1" t="s">
        <v>2811</v>
      </c>
    </row>
    <row r="1184" spans="2:11" ht="45.75" x14ac:dyDescent="0.25">
      <c r="B1184" s="1">
        <v>1210</v>
      </c>
      <c r="C1184" s="1" t="s">
        <v>2799</v>
      </c>
      <c r="D1184" s="1" t="s">
        <v>2804</v>
      </c>
      <c r="E1184" s="40">
        <f>2505+360</f>
        <v>2865</v>
      </c>
      <c r="F1184" s="4">
        <v>2865</v>
      </c>
      <c r="G1184" s="4" t="s">
        <v>2810</v>
      </c>
      <c r="H1184" s="4" t="s">
        <v>26</v>
      </c>
      <c r="I1184" s="4" t="s">
        <v>19</v>
      </c>
      <c r="J1184" s="8" t="s">
        <v>7</v>
      </c>
      <c r="K1184" s="1" t="s">
        <v>2812</v>
      </c>
    </row>
    <row r="1185" spans="2:11" ht="45.75" x14ac:dyDescent="0.25">
      <c r="B1185" s="3">
        <v>1211</v>
      </c>
      <c r="C1185" s="1" t="s">
        <v>2800</v>
      </c>
      <c r="D1185" s="1" t="s">
        <v>536</v>
      </c>
      <c r="E1185" s="40" t="s">
        <v>2822</v>
      </c>
      <c r="F1185" s="4">
        <v>40</v>
      </c>
      <c r="G1185" s="4" t="s">
        <v>2810</v>
      </c>
      <c r="H1185" s="4" t="s">
        <v>26</v>
      </c>
      <c r="I1185" s="4" t="s">
        <v>19</v>
      </c>
      <c r="J1185" s="8" t="s">
        <v>7</v>
      </c>
      <c r="K1185" s="1" t="s">
        <v>2813</v>
      </c>
    </row>
    <row r="1186" spans="2:11" ht="45.75" x14ac:dyDescent="0.25">
      <c r="B1186" s="1">
        <v>1212</v>
      </c>
      <c r="C1186" s="1" t="s">
        <v>2801</v>
      </c>
      <c r="D1186" s="1" t="s">
        <v>2805</v>
      </c>
      <c r="E1186" s="40">
        <v>608.16</v>
      </c>
      <c r="F1186" s="4">
        <v>608.16</v>
      </c>
      <c r="G1186" s="4" t="s">
        <v>2814</v>
      </c>
      <c r="H1186" s="4" t="s">
        <v>26</v>
      </c>
      <c r="I1186" s="4" t="s">
        <v>19</v>
      </c>
      <c r="J1186" s="8" t="s">
        <v>7</v>
      </c>
      <c r="K1186" s="1" t="s">
        <v>2815</v>
      </c>
    </row>
    <row r="1187" spans="2:11" x14ac:dyDescent="0.25">
      <c r="B1187" s="1">
        <v>1213</v>
      </c>
    </row>
    <row r="1188" spans="2:11" x14ac:dyDescent="0.25">
      <c r="B1188" s="3">
        <v>1214</v>
      </c>
    </row>
    <row r="1189" spans="2:11" x14ac:dyDescent="0.25">
      <c r="B1189" s="1">
        <v>1215</v>
      </c>
    </row>
  </sheetData>
  <mergeCells count="2">
    <mergeCell ref="B1:I1"/>
    <mergeCell ref="G2:H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ხელშეკრულებები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2018-01-10T13:37:19Z</dcterms:modified>
</cp:coreProperties>
</file>