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ხელშეკრულებები 2017" sheetId="3" r:id="rId1"/>
  </sheets>
  <definedNames>
    <definedName name="_xlnm._FilterDatabase" localSheetId="0" hidden="1">'ხელშეკრულებები 2017'!$3:$3</definedName>
  </definedNames>
  <calcPr calcId="152511"/>
</workbook>
</file>

<file path=xl/calcChain.xml><?xml version="1.0" encoding="utf-8"?>
<calcChain xmlns="http://schemas.openxmlformats.org/spreadsheetml/2006/main">
  <c r="E949" i="3" l="1"/>
  <c r="E152" i="3" l="1"/>
  <c r="E425" i="3"/>
  <c r="E750" i="3"/>
  <c r="E571" i="3"/>
  <c r="E59" i="3"/>
  <c r="E74" i="3"/>
  <c r="E78" i="3"/>
  <c r="E108" i="3"/>
  <c r="E121" i="3"/>
  <c r="E510" i="3"/>
  <c r="E193" i="3" l="1"/>
  <c r="E153" i="3"/>
  <c r="E133" i="3"/>
  <c r="E60" i="3"/>
  <c r="E48" i="3"/>
  <c r="E14" i="3"/>
  <c r="E72" i="3"/>
  <c r="E86" i="3"/>
  <c r="E423" i="3"/>
  <c r="E445" i="3"/>
  <c r="E17" i="3" l="1"/>
  <c r="E566" i="3"/>
  <c r="E99" i="3" l="1"/>
  <c r="E586" i="3"/>
  <c r="E444" i="3" l="1"/>
  <c r="E107" i="3" l="1"/>
  <c r="E422" i="3"/>
  <c r="E103" i="3"/>
  <c r="E646" i="3"/>
  <c r="E8" i="3" l="1"/>
  <c r="E19" i="3"/>
  <c r="E109" i="3"/>
  <c r="E760" i="3"/>
  <c r="E250" i="3"/>
  <c r="E246" i="3"/>
  <c r="E167" i="3"/>
  <c r="E21" i="3"/>
  <c r="E10" i="3"/>
  <c r="E131" i="3"/>
  <c r="E168" i="3"/>
  <c r="E79" i="3"/>
  <c r="E3" i="3"/>
  <c r="E18" i="3"/>
  <c r="E23" i="3"/>
  <c r="E22" i="3"/>
  <c r="E11" i="3"/>
  <c r="E12" i="3"/>
  <c r="E143" i="3"/>
  <c r="E145" i="3"/>
  <c r="E761" i="3"/>
  <c r="E146" i="3"/>
  <c r="E13" i="3"/>
  <c r="E9" i="3"/>
  <c r="E50" i="3"/>
  <c r="E16" i="3"/>
  <c r="E192" i="3"/>
  <c r="E136" i="3"/>
  <c r="E248" i="3"/>
  <c r="E533" i="3"/>
  <c r="E419" i="3" l="1"/>
  <c r="E105" i="3"/>
  <c r="E139" i="3"/>
  <c r="E733" i="3"/>
  <c r="E75" i="3" l="1"/>
  <c r="E85" i="3"/>
  <c r="E87" i="3"/>
  <c r="E115" i="3"/>
  <c r="E360" i="3"/>
  <c r="E749" i="3" l="1"/>
  <c r="E424" i="3"/>
  <c r="E53" i="3"/>
  <c r="E52" i="3"/>
  <c r="E49" i="3"/>
  <c r="E795" i="3"/>
  <c r="E261" i="3"/>
  <c r="E73" i="3"/>
  <c r="E106" i="3"/>
  <c r="E51" i="3" l="1"/>
  <c r="E77" i="3"/>
  <c r="E81" i="3"/>
  <c r="E44" i="3"/>
  <c r="E418" i="3"/>
  <c r="E76" i="3"/>
  <c r="E367" i="3" l="1"/>
  <c r="E421" i="3"/>
  <c r="E104" i="3"/>
  <c r="E66" i="3"/>
  <c r="E734" i="3"/>
  <c r="E127" i="3" l="1"/>
  <c r="E110" i="3"/>
  <c r="E214" i="3"/>
  <c r="E786" i="3"/>
  <c r="E197" i="3"/>
  <c r="E55" i="3"/>
  <c r="E65" i="3"/>
  <c r="E220" i="3"/>
  <c r="E219" i="3"/>
  <c r="E175" i="3" l="1"/>
  <c r="E56" i="3"/>
  <c r="E95" i="3" l="1"/>
  <c r="E97" i="3"/>
  <c r="E111" i="3" l="1"/>
  <c r="E368" i="3"/>
  <c r="E578" i="3"/>
  <c r="E89" i="3" l="1"/>
  <c r="E46" i="3"/>
  <c r="E88" i="3" l="1"/>
  <c r="E362" i="3"/>
  <c r="E648" i="3"/>
  <c r="E140" i="3"/>
  <c r="E230" i="3" l="1"/>
  <c r="E228" i="3"/>
  <c r="E229" i="3"/>
  <c r="E62" i="3"/>
  <c r="E67" i="3"/>
  <c r="E58" i="3"/>
  <c r="E90" i="3"/>
  <c r="E84" i="3"/>
  <c r="E83" i="3"/>
  <c r="E57" i="3"/>
  <c r="E128" i="3"/>
  <c r="E151" i="3" l="1"/>
  <c r="E207" i="3"/>
  <c r="E588" i="3"/>
  <c r="E80" i="3"/>
  <c r="E359" i="3" l="1"/>
  <c r="E605" i="3"/>
  <c r="E157" i="3" l="1"/>
  <c r="E336" i="3" l="1"/>
  <c r="E457" i="3" l="1"/>
  <c r="E47" i="3" l="1"/>
  <c r="E98" i="3"/>
  <c r="E138" i="3"/>
  <c r="E323" i="3"/>
  <c r="E135" i="3"/>
  <c r="E96" i="3" l="1"/>
  <c r="E20" i="3"/>
  <c r="E24" i="3"/>
  <c r="E45" i="3"/>
  <c r="E446" i="3"/>
  <c r="E223" i="3"/>
  <c r="E156" i="3"/>
  <c r="E64" i="3"/>
  <c r="E295" i="3"/>
  <c r="E61" i="3"/>
  <c r="E154" i="3"/>
  <c r="E320" i="3"/>
  <c r="E54" i="3"/>
  <c r="E6" i="3"/>
  <c r="E5" i="3"/>
  <c r="E231" i="3"/>
  <c r="E161" i="3"/>
  <c r="E198" i="3"/>
  <c r="E82" i="3"/>
  <c r="E36" i="3"/>
  <c r="E91" i="3"/>
  <c r="E63" i="3"/>
</calcChain>
</file>

<file path=xl/comments1.xml><?xml version="1.0" encoding="utf-8"?>
<comments xmlns="http://schemas.openxmlformats.org/spreadsheetml/2006/main">
  <authors>
    <author>Author</author>
  </authors>
  <commentList>
    <comment ref="B54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შეთანხმების ნომერი</t>
        </r>
      </text>
    </comment>
    <comment ref="B127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2016 წლის ხელშეკრულება</t>
        </r>
      </text>
    </comment>
    <comment ref="B147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შეთანხმების ნომერი</t>
        </r>
      </text>
    </comment>
    <comment ref="F161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შეთანხმებაა თანხის გაზრდაზე</t>
        </r>
      </text>
    </comment>
  </commentList>
</comments>
</file>

<file path=xl/sharedStrings.xml><?xml version="1.0" encoding="utf-8"?>
<sst xmlns="http://schemas.openxmlformats.org/spreadsheetml/2006/main" count="7876" uniqueCount="2394">
  <si>
    <t>შესყიდვის საშუალება</t>
  </si>
  <si>
    <t>შენიშვნა</t>
  </si>
  <si>
    <t>#</t>
  </si>
  <si>
    <t>საქართველოს კანონი სახელმწიფო შესყიდვების შესახებ, მე-10/1 მუხლის მე-3 პუნქტის "ვ" ქვეპუნქტი</t>
  </si>
  <si>
    <t>ქსოვილის ნივთები</t>
  </si>
  <si>
    <t>სასტუმროს მომსახურება</t>
  </si>
  <si>
    <t>სატელეკომუნიკაციო მომსახურებები</t>
  </si>
  <si>
    <r>
      <t>საქართველოს კანონი სახელმწიფო შესყიდვების შესახებ, მე-3 მუხლის 1  პუნქტის "ს</t>
    </r>
    <r>
      <rPr>
        <vertAlign val="superscript"/>
        <sz val="8"/>
        <rFont val="Sylfaen"/>
        <family val="1"/>
        <charset val="204"/>
      </rPr>
      <t>1</t>
    </r>
    <r>
      <rPr>
        <sz val="8"/>
        <rFont val="Sylfaen"/>
        <family val="1"/>
        <charset val="204"/>
      </rPr>
      <t xml:space="preserve">" ქვეპუნქტი </t>
    </r>
  </si>
  <si>
    <t>კ.ტ.</t>
  </si>
  <si>
    <t>გ.ე.ტ.</t>
  </si>
  <si>
    <t>საქართველოს კანონი სახელმწიფო შესყიდვების შესახებ, მე-3 მუხლის 1  პუნქტის "ს1" ქვეპუნქტი</t>
  </si>
  <si>
    <t>ე.ტ.</t>
  </si>
  <si>
    <t xml:space="preserve">საქართველოს კანონი სახელმწიფო შესყიდვების შესახებ, მე-10/1 მუხლის მე-3 პუნქტის "ვ" ქვეპუნქტი </t>
  </si>
  <si>
    <t>ორგანიზაციის დასახელება</t>
  </si>
  <si>
    <t>ხელშეკრულების საგანი</t>
  </si>
  <si>
    <t>ღირებულება</t>
  </si>
  <si>
    <t>შესყიდვის განხორციელების თარიღი</t>
  </si>
  <si>
    <t>დანაყოფის კოდი</t>
  </si>
  <si>
    <t>CMR</t>
  </si>
  <si>
    <t>გ.შ.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</si>
  <si>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2012 წლის 23 მარტის  #496 განკარგულების საფუძველზე</t>
  </si>
  <si>
    <t>საქართველოს კანონი სახელმწიფო შესყიდვების შესახებ, მე-10/1 მუხლის მე-3 პუნქტის "თ" ქვეპუნქტი</t>
  </si>
  <si>
    <r>
      <t xml:space="preserve">სსიპ საქართველოს ტურიზმის ეროვნული ადმინისტრაცია    </t>
    </r>
    <r>
      <rPr>
        <sz val="8"/>
        <rFont val="Sylfaen"/>
        <family val="1"/>
      </rPr>
      <t xml:space="preserve"> 2017  წელს გაფორმებული სახელმწიფო შესყიდვების ხელშეკრულებათა რეესტრი</t>
    </r>
  </si>
  <si>
    <t>სს "დაზღვევის საერთაშორისო კომპანია ირაო"</t>
  </si>
  <si>
    <t>ადმინისტრაციის ბალანსზე რიცხული ავტომობილების დაზღვევა</t>
  </si>
  <si>
    <t>30.12.2016</t>
  </si>
  <si>
    <t>31.01.2018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</si>
  <si>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2012 წლის 26 სექტემბრის  #1805 განკარგულების საფუძველზე</t>
  </si>
  <si>
    <t>(სახელმწიფო შესყიდვების სააგენტოს თავმჯდომარის 2015 წლის 17 აგვისტოს №13 ბრძანებით დამტკიცებული „გამარტივებული შესყიდვის კრიტერიუმებისა და გამარტივებული შესყიდვის ჩატარების წესის“ მე-3 მუხლის პირველი პუნქტების „ა“ ქვეპუნქტის და სახელმწიფო შესყიდვების სააგენტოს თავმჯდომარის 2016 წლის 7 დეკემბრის №3391 განკარგულების შესაბამისად (SMP160003146))</t>
  </si>
  <si>
    <t xml:space="preserve">საქართველოს კანონი სახელმწიფო შესყიდვების შესახებ, მე-10/1 მუხლის მე-3  პუნქტის "ზ" ქვეპუნქტი </t>
  </si>
  <si>
    <t>დაცვის მომსახურება</t>
  </si>
  <si>
    <t xml:space="preserve"> (სახელმწიფო შესყიდვების სააგენტოს თავმჯდომარის 2015 წლის 17 აგვისტოს №13 ბრძანებით დამტკიცებული „გამარტივებული შესყიდვის კრიტერიუმებისა და გამარტივებული შესყიდვის ჩატარების წესის“ მე-3 მუხლის პირველი პუნქტების „ა“ ქვეპუნქტის და სახელმწიფო შესყიდვების სააგენტოს თავმჯდომარის 2016 წლის 26 დეკემბრის №3795 განკარგულების შესაბამისად (SMP160003570))</t>
  </si>
  <si>
    <t>66500000</t>
  </si>
  <si>
    <t>სს "გლობალ ერთი"</t>
  </si>
  <si>
    <t>ინტერნეტ ტელეფონით მომსახურება</t>
  </si>
  <si>
    <t>72400000</t>
  </si>
  <si>
    <t>შპს "დელტა-ნეტი"</t>
  </si>
  <si>
    <t>ინტერნეტ მომსახურება</t>
  </si>
  <si>
    <t>პროვაიდერული მომსახურებები</t>
  </si>
  <si>
    <t>შპს "ჯეონეთი"</t>
  </si>
  <si>
    <t>საქართველოს შინაგან საქმეთა სამინისტროს სსიპ დაცვის პოლიციის დეპარტამენტი</t>
  </si>
  <si>
    <t>სსიპ საჯარო რეესტრის ეროვნული სააგენტო</t>
  </si>
  <si>
    <t>დეს პროგრამა</t>
  </si>
  <si>
    <t>სსიპ საკანონმდებლო მაცნე</t>
  </si>
  <si>
    <t>ნორმატიული აქტების მომსახურება</t>
  </si>
  <si>
    <t>შპს "შერიფი"</t>
  </si>
  <si>
    <t>ჯიხურის დაცვის მომსახურება</t>
  </si>
  <si>
    <t>სს "სილქნეტი"</t>
  </si>
  <si>
    <t>საკაბელო ტელევიზიით მომსახურება</t>
  </si>
  <si>
    <t>შპს "საქართველოს ლიფტების კომპანია"</t>
  </si>
  <si>
    <t>ლიფტის ტექნიკური მომსახურება</t>
  </si>
  <si>
    <t>შპს "ტავ ურბან საქართველო"</t>
  </si>
  <si>
    <t>ავტოსადგომების მომსახურება</t>
  </si>
  <si>
    <t>სსიპ სახელისუფლებო სპეციალური კავშირგაბმულობის სააგენტო"</t>
  </si>
  <si>
    <t>სპეცკავშირების მომსახურების შესყიდვა</t>
  </si>
  <si>
    <t>შპს "რომპეტროლ საქართველო"</t>
  </si>
  <si>
    <t>საწვავი - დიზელი</t>
  </si>
  <si>
    <t>03.01.2017</t>
  </si>
  <si>
    <t>საწვავი - პრემიუმი</t>
  </si>
  <si>
    <t>ბაკურიანში დაცვის მომსახურება</t>
  </si>
  <si>
    <t>03.06.2017</t>
  </si>
  <si>
    <t>CMR170001308</t>
  </si>
  <si>
    <t>CMR170001489</t>
  </si>
  <si>
    <t>CMR170002184</t>
  </si>
  <si>
    <t>CMR170002269</t>
  </si>
  <si>
    <t>CMR170002628</t>
  </si>
  <si>
    <t>CMR170002637</t>
  </si>
  <si>
    <t>CMR170002670</t>
  </si>
  <si>
    <t>CMR170002675</t>
  </si>
  <si>
    <t>CMR170002697</t>
  </si>
  <si>
    <t>CMR170002707</t>
  </si>
  <si>
    <t>CMR170002713</t>
  </si>
  <si>
    <t>CMR170002741</t>
  </si>
  <si>
    <t>CMR170003441</t>
  </si>
  <si>
    <t>CMR170003443</t>
  </si>
  <si>
    <t>CMR170002584</t>
  </si>
  <si>
    <t>CMR170003890</t>
  </si>
  <si>
    <t>შპს "წინანდალი"</t>
  </si>
  <si>
    <t>მუზეუმის მომსახურება</t>
  </si>
  <si>
    <t>10.01.2017</t>
  </si>
  <si>
    <t>31.12.2017</t>
  </si>
  <si>
    <t>ფ.პ. ალექსანდრე მუჯირი</t>
  </si>
  <si>
    <t>გიდის მომსახურება</t>
  </si>
  <si>
    <t>შპს "აჭარა+"</t>
  </si>
  <si>
    <t>სასტუმრო მომსახურება</t>
  </si>
  <si>
    <t>შპს "აკა გრუპი 2"</t>
  </si>
  <si>
    <t>ტრანსპორტით მომსახურება</t>
  </si>
  <si>
    <t>შპს "გამბრიელი"</t>
  </si>
  <si>
    <t>სარესტორნო მომსახურება</t>
  </si>
  <si>
    <t>შპს "გუდაური სქი რესორტ"</t>
  </si>
  <si>
    <t>შპს "კ &amp; მ რესტორნები K &amp; M Restaurants"</t>
  </si>
  <si>
    <t>სს "სასტუმროებისა და რესტორნების მენეჯმენტ ჯგუფი - ემ/გრუპ"</t>
  </si>
  <si>
    <t>შპს "პარკ ჰოტელი"</t>
  </si>
  <si>
    <t>შპს "ალბატროს +"</t>
  </si>
  <si>
    <t>შპს "ქართული რესტორანი"</t>
  </si>
  <si>
    <t>შპს "მეღვინეობა ხარება"</t>
  </si>
  <si>
    <t>ფ.პ. რობერტ დილანიანი</t>
  </si>
  <si>
    <t>კვების მიწოდება</t>
  </si>
  <si>
    <t>12.01.2017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</si>
  <si>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2017 წლის 11 იანვრის  #8 განკარგულების საფუძველზე (SMP170000039)</t>
  </si>
  <si>
    <t>სარეკლამო კამპანია</t>
  </si>
  <si>
    <t>კულტურული ღონისძიების ორგანიზება</t>
  </si>
  <si>
    <t>შპს "ავიაქსელი"</t>
  </si>
  <si>
    <t>საჰაერო მომსახურება</t>
  </si>
  <si>
    <t>შპს "Windforce Georgia"</t>
  </si>
  <si>
    <t>ვიდეო რგოლის გადაღება</t>
  </si>
  <si>
    <t>შპს "ჩიზ ქორნერი"</t>
  </si>
  <si>
    <t>ყველის შესყიდვა</t>
  </si>
  <si>
    <t>13.01.2017</t>
  </si>
  <si>
    <t>შპს "სამების ლავრის მგალობელთა გუნდი"</t>
  </si>
  <si>
    <t>სსიპ - საქართველოს კულტურული მემკვიდრეობის დაცვის ეროცნული სააგენტო</t>
  </si>
  <si>
    <t>შპს "ტყუპების ძველი მარანი"</t>
  </si>
  <si>
    <t>სსიპ "საქართველოს ეროვნული მუზეუმი"</t>
  </si>
  <si>
    <t>სსიპ დაცული ტერიტორიების სააგენტო</t>
  </si>
  <si>
    <t>ააიპ "ახალციხის ციხე"</t>
  </si>
  <si>
    <t>სსიპ "ი.ბ. სტალინის სახელმწიფო მუზეუმი"</t>
  </si>
  <si>
    <t>სსიპ "დადიანების სასახლეთა ისტორიულ-არქიტექტურული მუზეუმი"</t>
  </si>
  <si>
    <t>ააიპ "ბათუმის ბოტანიკური სახლი"</t>
  </si>
  <si>
    <t>შპს "მეგრულ-ლაზური"</t>
  </si>
  <si>
    <t>შპს "სასადილო +"</t>
  </si>
  <si>
    <t>შპს "ლოპოტა ტურ სერვისი"</t>
  </si>
  <si>
    <t>შპს "აზარფეშა"</t>
  </si>
  <si>
    <t>შპს "საერთაშორისო კორპორაცია აი სი არ"</t>
  </si>
  <si>
    <t>შპს "კახური ტრადიციული მეღვინეობა"</t>
  </si>
  <si>
    <t>შპს "Acciones de publicidad y montajes azierta, S.L."</t>
  </si>
  <si>
    <t>სტენდის მშენებლობა ესპანეთის გამოფენაზე</t>
  </si>
  <si>
    <t>შპს "ბარაქა 1994"</t>
  </si>
  <si>
    <t>შპს "საგა ფუდი"</t>
  </si>
  <si>
    <t>შპს "შავი ლომი"</t>
  </si>
  <si>
    <t>16.01.2017</t>
  </si>
  <si>
    <t>ფ.პ. "ქეთევან ახობაძე"</t>
  </si>
  <si>
    <t>შპს "სითი ლოფტი"</t>
  </si>
  <si>
    <t>შპს "ხოხბის ცრელმების რესტორანი"</t>
  </si>
  <si>
    <t>სს "საქართველოს სასტუმროები და სპა"</t>
  </si>
  <si>
    <t>შპს "კულინარიუმი"</t>
  </si>
  <si>
    <t>CMR170009826</t>
  </si>
  <si>
    <t>CMR170010463</t>
  </si>
  <si>
    <t>CMR170010643</t>
  </si>
  <si>
    <t>CMR170010692</t>
  </si>
  <si>
    <t>CMR170010333</t>
  </si>
  <si>
    <t>CMR170009173</t>
  </si>
  <si>
    <t>CMR170011234</t>
  </si>
  <si>
    <t>შპს "ბაქარი"</t>
  </si>
  <si>
    <t>სს "შატო მუხრანი"</t>
  </si>
  <si>
    <t>შპს "დიარონი"</t>
  </si>
  <si>
    <t>შპს "Georgian Food Company"</t>
  </si>
  <si>
    <t>შპს "ვალოდიას კოტეჯი"</t>
  </si>
  <si>
    <t>CMR170012694</t>
  </si>
  <si>
    <t>CMR170010827</t>
  </si>
  <si>
    <t>CMR170011020</t>
  </si>
  <si>
    <t>CMR170011086</t>
  </si>
  <si>
    <t>CMR170011101</t>
  </si>
  <si>
    <t>CMR170011191</t>
  </si>
  <si>
    <t>CMR170012047</t>
  </si>
  <si>
    <t>CMR170012081</t>
  </si>
  <si>
    <t>CMR170012108</t>
  </si>
  <si>
    <t>CMR170012846</t>
  </si>
  <si>
    <t>შპს "სამოსელი პირველი"</t>
  </si>
  <si>
    <t>17.01.2017</t>
  </si>
  <si>
    <t>CMR170013113</t>
  </si>
  <si>
    <t>ტანსაცმლის შესყიდვა</t>
  </si>
  <si>
    <t>შპს "ევროკომ ინვესტმენტ ჯორჯია"</t>
  </si>
  <si>
    <t>18.01.2017</t>
  </si>
  <si>
    <t>სს 'საქართველოს სასტუმროები და სპა"</t>
  </si>
  <si>
    <t>შპს "ნიუ თეთნულდი"</t>
  </si>
  <si>
    <t>შპს "ჩვენი ეზო"</t>
  </si>
  <si>
    <t>ი.მ. ირაკლი ჩაფიჩაძე</t>
  </si>
  <si>
    <t>ფ.პ. მარიკა ბოგვერაძე</t>
  </si>
  <si>
    <t>შპს "ოტო მოტორსი"</t>
  </si>
  <si>
    <t>ზეთის ფილტრები</t>
  </si>
  <si>
    <t>ჰაერის ფილტრები</t>
  </si>
  <si>
    <t>ზეთების შესყიდვა</t>
  </si>
  <si>
    <t>შპს"სასტუმრო ყაზბეგი"</t>
  </si>
  <si>
    <t>CMR170015272</t>
  </si>
  <si>
    <t>CMR170015362</t>
  </si>
  <si>
    <t>CMR170015479</t>
  </si>
  <si>
    <t>CMR170015485</t>
  </si>
  <si>
    <t>CMR170015492</t>
  </si>
  <si>
    <t>CMR170015497</t>
  </si>
  <si>
    <t>CMR170015391</t>
  </si>
  <si>
    <t>CMR170015417</t>
  </si>
  <si>
    <t>CMR170015443</t>
  </si>
  <si>
    <t>CMR170015476</t>
  </si>
  <si>
    <t>CMR170015482</t>
  </si>
  <si>
    <t>CMR170015487</t>
  </si>
  <si>
    <t>CMR170015491</t>
  </si>
  <si>
    <t>CMR170016528</t>
  </si>
  <si>
    <t>CMR170016558</t>
  </si>
  <si>
    <t>CMR170016578</t>
  </si>
  <si>
    <t>შპს "ბადაგი"</t>
  </si>
  <si>
    <t>ჩირის შესყიდვა</t>
  </si>
  <si>
    <t>CMR170009011</t>
  </si>
  <si>
    <t>CMR170009036</t>
  </si>
  <si>
    <t>CMR170017151</t>
  </si>
  <si>
    <t>CMR170017317</t>
  </si>
  <si>
    <t>CMR170017379</t>
  </si>
  <si>
    <t>CMR170017669</t>
  </si>
  <si>
    <t>CMR170017699</t>
  </si>
  <si>
    <t>CMR170017807</t>
  </si>
  <si>
    <t>CMR170013146</t>
  </si>
  <si>
    <t>CMR170017524</t>
  </si>
  <si>
    <t>CMR170017534</t>
  </si>
  <si>
    <t>CMR170017543</t>
  </si>
  <si>
    <t>CMR170017556</t>
  </si>
  <si>
    <t>CMR170017564</t>
  </si>
  <si>
    <t>CMR170017572</t>
  </si>
  <si>
    <t>CMR170017625</t>
  </si>
  <si>
    <t>CMR170017647</t>
  </si>
  <si>
    <t>CMR170017673</t>
  </si>
  <si>
    <t>CMR170017704</t>
  </si>
  <si>
    <t>CMR170017719</t>
  </si>
  <si>
    <t>CMR170017731</t>
  </si>
  <si>
    <t>CMR170017748</t>
  </si>
  <si>
    <t>CMR170020646</t>
  </si>
  <si>
    <t>CMR170018157</t>
  </si>
  <si>
    <t>სს "ნუროლ ინშაათ ვე თიჯარეთის წარმომადგენლობა საქართველოში"</t>
  </si>
  <si>
    <t>23.01.2017</t>
  </si>
  <si>
    <t>შპს "აჭარა +"</t>
  </si>
  <si>
    <t>CMR170021256</t>
  </si>
  <si>
    <t>ფაქტიურად გადახდილი თანხა</t>
  </si>
  <si>
    <t>CMR170023211</t>
  </si>
  <si>
    <t>141.80 </t>
  </si>
  <si>
    <t>132.66 </t>
  </si>
  <si>
    <t>142.34 </t>
  </si>
  <si>
    <t>129.03 </t>
  </si>
  <si>
    <t>70.00 </t>
  </si>
  <si>
    <t>CMR170025729</t>
  </si>
  <si>
    <t>CMR170027840</t>
  </si>
  <si>
    <t>CMR170029219</t>
  </si>
  <si>
    <t>CMR170029230</t>
  </si>
  <si>
    <t>CMR170017817</t>
  </si>
  <si>
    <t>CMR170027904</t>
  </si>
  <si>
    <t>CMR170027923</t>
  </si>
  <si>
    <t>CMR170027843</t>
  </si>
  <si>
    <t>CMR170027869</t>
  </si>
  <si>
    <t>CMR170023545</t>
  </si>
  <si>
    <t>CMR170023566</t>
  </si>
  <si>
    <t>CMR170023591</t>
  </si>
  <si>
    <t>CMR170027968</t>
  </si>
  <si>
    <t>CMR170027945</t>
  </si>
  <si>
    <t>CMR170032443</t>
  </si>
  <si>
    <t>CMR170023327</t>
  </si>
  <si>
    <t>CMR170033502</t>
  </si>
  <si>
    <t>CMR170024098</t>
  </si>
  <si>
    <t>CMR170027983</t>
  </si>
  <si>
    <t>CMR170028001</t>
  </si>
  <si>
    <t>CMR170027890</t>
  </si>
  <si>
    <t>CMR170038543</t>
  </si>
  <si>
    <t>CMR170029821</t>
  </si>
  <si>
    <t>CMR170031132</t>
  </si>
  <si>
    <t>სს "ფრანს ავტო"</t>
  </si>
  <si>
    <t>მე-3 კლასის მაღალი გამავლობის მსუბუქი ავტომობილის (რენო დასტერი) მოწყობილობების შეკეთება, ტექნიკური მომსახურება და მასთან დაკავშირებული მომსახურების შესყიდვა</t>
  </si>
  <si>
    <t>შპს "იბერია ავტო ლენდი"</t>
  </si>
  <si>
    <t>სპეციალიზირებული კლასის ავტომობილის (პიკაპი) მოწყობილობების შეკეთება, ტექნიკური მომსახურება და მასთან დაკავშირებული მომსახურების შესყიდვა</t>
  </si>
  <si>
    <t>სსიპ საერთაშორისო ხელშეკრულებების თარგმნის ბიურო</t>
  </si>
  <si>
    <t>თარგმნის მომსახურება და აუთენტურობის დამოწმება</t>
  </si>
  <si>
    <t>Arkon tasarum organizasyon ins. San. Ve Dis Tic ltd. Sti</t>
  </si>
  <si>
    <t>სტენდის მშენებლობა თურქეთის გამოფენაზე</t>
  </si>
  <si>
    <t>შპს 'ჯი-ემ-თი სასტუმროები"</t>
  </si>
  <si>
    <t>ფ.პ. ელენე რაქვიაშვილი</t>
  </si>
  <si>
    <t>შპს "კარგო ლოჯისთიქს გრუპ ჯორჯია"</t>
  </si>
  <si>
    <t>ტვირთის გადაზიდვა</t>
  </si>
  <si>
    <t>შპს "ფავორიტი სტილი"</t>
  </si>
  <si>
    <t>სახელმძღვანელოების ბეჭდვა</t>
  </si>
  <si>
    <t>UAB "ekspogama"</t>
  </si>
  <si>
    <t>სტენდის მშენებლობა ბელგიის გამოფენაზე</t>
  </si>
  <si>
    <t>შპს "Euro expo baltic OU"</t>
  </si>
  <si>
    <t>სტენდის მშენებლობა ლატვიის გამოფენაზე</t>
  </si>
  <si>
    <t>შპს "სტუდია მეტრო"</t>
  </si>
  <si>
    <t>ზამთრის ვიდეო რგოლის გადაღება</t>
  </si>
  <si>
    <t>ი.მ. ცისმარი ჩეკურაშვილი</t>
  </si>
  <si>
    <t>შპს "შატო მერე"</t>
  </si>
  <si>
    <t>შპს "ტრაფიკ თრეველი"</t>
  </si>
  <si>
    <t>შპს "თითიჯი ჯორჯია"</t>
  </si>
  <si>
    <t>რეკლამის განთავსება ჟურნალში - The georgian</t>
  </si>
  <si>
    <t>შპს "აიაქს-პრესი"</t>
  </si>
  <si>
    <t>რეკლამის განთავსება ჟურნალში - პოლიგლოტი</t>
  </si>
  <si>
    <t>შპს 'ბადაგი"</t>
  </si>
  <si>
    <t>24.01.2017</t>
  </si>
  <si>
    <t>SPA160030510</t>
  </si>
  <si>
    <t>25.01.2017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</si>
  <si>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2017 წლის 24 იანვრის  #73 განკარგულების საფუძველზე (SMP1700000182)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</si>
  <si>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2017 წლის 24 იანვრის  #74 განკარგულების საფუძველზე (SMP170000214)</t>
  </si>
  <si>
    <t>27.01.2017</t>
  </si>
  <si>
    <t>30.01.2017</t>
  </si>
  <si>
    <t>CMR170027826</t>
  </si>
  <si>
    <t>CMR170040088</t>
  </si>
  <si>
    <t>CMR170040129</t>
  </si>
  <si>
    <t>705.00 </t>
  </si>
  <si>
    <t>284.38 </t>
  </si>
  <si>
    <t>602.58 </t>
  </si>
  <si>
    <t>შპს "თავისუფალი გაზეთი +"</t>
  </si>
  <si>
    <t>საინფორმაციო სააგენტოების მომსახურება</t>
  </si>
  <si>
    <t>შპს 'ჯორჯიან ჰოტელ მენეჯმენტი"</t>
  </si>
  <si>
    <t>კვების მიწოდების მომსახურება</t>
  </si>
  <si>
    <t>შპს "ქართული ოჯახი"</t>
  </si>
  <si>
    <t>შპს "Schuchman Invest"</t>
  </si>
  <si>
    <t>შპს "წისქვილი ჯგუფი"</t>
  </si>
  <si>
    <t>შპს "ლეილა"</t>
  </si>
  <si>
    <t>შპს "ია+ჯგუფი"</t>
  </si>
  <si>
    <t>შპს "აჭარული ღვინის სახლი"</t>
  </si>
  <si>
    <t>შპს "რესტორანი ძველი მეტეხი"</t>
  </si>
  <si>
    <t>ი.მ. ალბერტ გუდაძე</t>
  </si>
  <si>
    <t>ააიპ ალავერდის განვითარების ფონდი ტალავერი</t>
  </si>
  <si>
    <t>შპს "CORDOVA"</t>
  </si>
  <si>
    <t>სტენდის მშენებლობა ისარელის გამოფენაზე</t>
  </si>
  <si>
    <t>შპს "პირველი"</t>
  </si>
  <si>
    <t>შპს 'კულინარტი"</t>
  </si>
  <si>
    <t>შპს "ახალი ამბები"</t>
  </si>
  <si>
    <t>ვებ გვერდზე ინფორმაციის გავრცელება</t>
  </si>
  <si>
    <t>შპს "ჯეოჰოტნიუსი"</t>
  </si>
  <si>
    <t>49-1</t>
  </si>
  <si>
    <t>შპს "მაგთიკომი"</t>
  </si>
  <si>
    <t>შეთანხმება ფიჭური კავშირგაბმულობის მომსახურების ვადის გაგრძელებაზე</t>
  </si>
  <si>
    <t>ი.მ. ქართველა ჭაბაშვილი</t>
  </si>
  <si>
    <t>სს "საქართველოს ბანკი"</t>
  </si>
  <si>
    <t>საბანკო მომსახურება</t>
  </si>
  <si>
    <t>შპს "Marina coliseum"</t>
  </si>
  <si>
    <t>შპს "ჯითიერ"</t>
  </si>
  <si>
    <t>შპს "Invest Consult SKTS Oy"</t>
  </si>
  <si>
    <t>ფ.პ. ელისო ელისაშვილი</t>
  </si>
  <si>
    <t>ჩინურენოვანი ტექსტის დამუშავება</t>
  </si>
  <si>
    <t>შპს "ედვაიზორ მედია"</t>
  </si>
  <si>
    <t>პროექტი "სილამაზის საელჩო"</t>
  </si>
  <si>
    <t>პროექტი "Bachelor"</t>
  </si>
  <si>
    <t>31.01.2017</t>
  </si>
  <si>
    <t>CMR170045629</t>
  </si>
  <si>
    <t>CMR170045636</t>
  </si>
  <si>
    <t>CMR170044554</t>
  </si>
  <si>
    <t>CMR170044553</t>
  </si>
  <si>
    <t>CMR170044556</t>
  </si>
  <si>
    <t>CMR170045749</t>
  </si>
  <si>
    <t>CMR170044612</t>
  </si>
  <si>
    <t>CMR170044621</t>
  </si>
  <si>
    <t>01.02.2017</t>
  </si>
  <si>
    <t>CMR170045213</t>
  </si>
  <si>
    <t>01.04.2017</t>
  </si>
  <si>
    <t>CON150000078</t>
  </si>
  <si>
    <t>02.02.2017</t>
  </si>
  <si>
    <t>31.03.2018</t>
  </si>
  <si>
    <t>03.02.2017</t>
  </si>
  <si>
    <t>CMR170046657</t>
  </si>
  <si>
    <t>CMR170046769</t>
  </si>
  <si>
    <t>CMR170044168</t>
  </si>
  <si>
    <t>CMR170045202</t>
  </si>
  <si>
    <t>CMR170042745</t>
  </si>
  <si>
    <t>CMR170043360</t>
  </si>
  <si>
    <t>CMR170045294</t>
  </si>
  <si>
    <t>CMR170047040</t>
  </si>
  <si>
    <t>CMR170046208</t>
  </si>
  <si>
    <t>CMR170046996</t>
  </si>
  <si>
    <t>CMR170046193</t>
  </si>
  <si>
    <t>CMR170044610</t>
  </si>
  <si>
    <t>CMR170042189</t>
  </si>
  <si>
    <t>CMR170044903</t>
  </si>
  <si>
    <t>CMR170043199</t>
  </si>
  <si>
    <t>CMR170041970</t>
  </si>
  <si>
    <t>162.50 </t>
  </si>
  <si>
    <t>შპს "სუფთა წყალი"</t>
  </si>
  <si>
    <t>სასმელი წყლის შესყიდვა</t>
  </si>
  <si>
    <t>950.00 </t>
  </si>
  <si>
    <t>CMR170047296</t>
  </si>
  <si>
    <t>CMR170047290</t>
  </si>
  <si>
    <t>15.00 </t>
  </si>
  <si>
    <t>CMR170050213</t>
  </si>
  <si>
    <t>CMR170047808</t>
  </si>
  <si>
    <t>CMR170047525</t>
  </si>
  <si>
    <t>CMR170047514</t>
  </si>
  <si>
    <t>CMR170047538</t>
  </si>
  <si>
    <t>CMR170049609</t>
  </si>
  <si>
    <t>CMR170050584</t>
  </si>
  <si>
    <t>CMR170050564</t>
  </si>
  <si>
    <t>CMR170050202</t>
  </si>
  <si>
    <t>CMR170050510</t>
  </si>
  <si>
    <t xml:space="preserve"> CMR170049624</t>
  </si>
  <si>
    <t>CMR170047325</t>
  </si>
  <si>
    <t>CMR170050207</t>
  </si>
  <si>
    <t>CMR170047121</t>
  </si>
  <si>
    <t>CMR170047125</t>
  </si>
  <si>
    <t>CMR170047433</t>
  </si>
  <si>
    <t>შპს "მაჭახელა-სამიკიტნო"</t>
  </si>
  <si>
    <t>07.02.2017</t>
  </si>
  <si>
    <t>CMR170002596</t>
  </si>
  <si>
    <t>2769.39 </t>
  </si>
  <si>
    <t>2300.00 </t>
  </si>
  <si>
    <t>1142.73 </t>
  </si>
  <si>
    <t>26068.20 </t>
  </si>
  <si>
    <t>2695.44 </t>
  </si>
  <si>
    <t>2140.86 </t>
  </si>
  <si>
    <t>54942.30 </t>
  </si>
  <si>
    <t>2572.30 </t>
  </si>
  <si>
    <t>შპს "თაშრე"</t>
  </si>
  <si>
    <t>ბეჭდვასთან დაკავშირებული მომსახურებები</t>
  </si>
  <si>
    <t>შპს "ბ ენდ ვ გალერი B &amp; W Gallery"</t>
  </si>
  <si>
    <t>ფოტოების შესყიდვა</t>
  </si>
  <si>
    <t>შპს "ნივადა გრუპი"</t>
  </si>
  <si>
    <t>ფ.პ. დავით ნოზაძე</t>
  </si>
  <si>
    <t>შპს "გლორია LLC GLORIA"</t>
  </si>
  <si>
    <t>შპს "allmarket.ge"</t>
  </si>
  <si>
    <t>ტელეფონის აპარატები</t>
  </si>
  <si>
    <t>შპს "პრინტარეა"</t>
  </si>
  <si>
    <t>სავიზიტო ბარათების შესყიდვა</t>
  </si>
  <si>
    <t>შიდა გადაზიდვა</t>
  </si>
  <si>
    <t>შპს "ჰოტელს მენეჯმენტ გრუპ - HMG"</t>
  </si>
  <si>
    <t>ლიფტის შეკეთება</t>
  </si>
  <si>
    <t>შპს "ყვარლის ედემი"</t>
  </si>
  <si>
    <t>შპს "ძველი სიღნაღი"</t>
  </si>
  <si>
    <t>ი.მ. ინგა ლაშხი</t>
  </si>
  <si>
    <t>შპს "სვანეთის სასტუმროები"</t>
  </si>
  <si>
    <t>შპს "გუდაური 2010"</t>
  </si>
  <si>
    <t>09.02.2017</t>
  </si>
  <si>
    <t>CMR170051681</t>
  </si>
  <si>
    <t>10.02.2017</t>
  </si>
  <si>
    <t>CMR170054958</t>
  </si>
  <si>
    <t>CMR170054971</t>
  </si>
  <si>
    <t>13.02.2017</t>
  </si>
  <si>
    <t>CMR170052181</t>
  </si>
  <si>
    <t>14.02.2017</t>
  </si>
  <si>
    <t>CMR170053500</t>
  </si>
  <si>
    <t>SPA170001153</t>
  </si>
  <si>
    <t>SPA170001178</t>
  </si>
  <si>
    <t>15.02.2017</t>
  </si>
  <si>
    <t>CMR170054683</t>
  </si>
  <si>
    <t>16.02.2017</t>
  </si>
  <si>
    <t>17.02.2017</t>
  </si>
  <si>
    <t>1`250.00</t>
  </si>
  <si>
    <t>24`182.81</t>
  </si>
  <si>
    <t>CMR170050219</t>
  </si>
  <si>
    <t>6`480.00</t>
  </si>
  <si>
    <t>1`377.50</t>
  </si>
  <si>
    <t>1`840.00</t>
  </si>
  <si>
    <t>CMR170055643</t>
  </si>
  <si>
    <t>CMR170055625</t>
  </si>
  <si>
    <t>181`675.60</t>
  </si>
  <si>
    <t>1`044.90</t>
  </si>
  <si>
    <t>CMR170055663</t>
  </si>
  <si>
    <t>1`300.00</t>
  </si>
  <si>
    <t>CMR170055996</t>
  </si>
  <si>
    <t>1`500.00</t>
  </si>
  <si>
    <t>450.00 </t>
  </si>
  <si>
    <t>2`150.00</t>
  </si>
  <si>
    <t>108.00 </t>
  </si>
  <si>
    <t>CMR170050204</t>
  </si>
  <si>
    <t>CMR170055657</t>
  </si>
  <si>
    <t>CMR170056818</t>
  </si>
  <si>
    <t>CMR170056006</t>
  </si>
  <si>
    <t>CMR170055620</t>
  </si>
  <si>
    <t>CMR170059499</t>
  </si>
  <si>
    <t>CMR170059930</t>
  </si>
  <si>
    <t>CMR170059933</t>
  </si>
  <si>
    <t>CMR170059925</t>
  </si>
  <si>
    <t>შპს "ეიდიესეს პრინტი"</t>
  </si>
  <si>
    <t>შპს "ჯორჯია თუდეი ჯგუფი"</t>
  </si>
  <si>
    <t>შპს "იბერინფო"</t>
  </si>
  <si>
    <t>შპს "ინტერჯორჯია"</t>
  </si>
  <si>
    <t>შპს "QartValley Georgian Products OHG"</t>
  </si>
  <si>
    <t>შპს "ფავორიტი ედვერთისმენთ"</t>
  </si>
  <si>
    <t>შპს 'სეზანი"</t>
  </si>
  <si>
    <t>ი.მ. თამაზი სულხანიშვილი</t>
  </si>
  <si>
    <t>შპს "სიღნაღი ჰოტელ"</t>
  </si>
  <si>
    <t>შპს "ჯობს.გე"</t>
  </si>
  <si>
    <t>შპს "Arabesque exhibition supply trading"</t>
  </si>
  <si>
    <t>ფ.პ. თინათინ იდიძე</t>
  </si>
  <si>
    <t>შპს "სითი ფლანერი"</t>
  </si>
  <si>
    <t>შპს "Diplomatisches Magazin Verlagsgesellschaft mbH"</t>
  </si>
  <si>
    <t>შპს "სტატიო"</t>
  </si>
  <si>
    <t>ბანერის ბეჭდვა</t>
  </si>
  <si>
    <t>სარეკლამო კამპანია  ჟურნალში The Economist</t>
  </si>
  <si>
    <t>ინფობუღალტერიის პროგრამა</t>
  </si>
  <si>
    <t>ქართული ღვინის შესყიდვა და ადგილზე მიწოდება</t>
  </si>
  <si>
    <t>სარეკლამო მასალის შესყიდვა</t>
  </si>
  <si>
    <t>საქმიანი ტურიზმის ბროშურის ბეჭდვის მომსახურება</t>
  </si>
  <si>
    <t>განცხადების გამოქვეყნება</t>
  </si>
  <si>
    <t>სტენდის მშენებლობა გერმანიის გამოფენაზე</t>
  </si>
  <si>
    <t>წყალტუბოს ბალნეოლოგიური კურორტის შშმპ ადაპტირებული ინფრასტრუქტურის სამუშაოების შესყიდვა</t>
  </si>
  <si>
    <t>სარეკლამო კამპანია გერმანულენოვან დიპლომატიურ ჟურნალში</t>
  </si>
  <si>
    <t>პირადი ჰიგიენის საშუალებების შესყიდვა</t>
  </si>
  <si>
    <t>20.02.2017</t>
  </si>
  <si>
    <t>21.02.2017</t>
  </si>
  <si>
    <t>CMR170056891</t>
  </si>
  <si>
    <t>22.02.2017</t>
  </si>
  <si>
    <t>CMR170059325</t>
  </si>
  <si>
    <t>CMR170059320</t>
  </si>
  <si>
    <t>CMR170057376</t>
  </si>
  <si>
    <t>23.02.2017</t>
  </si>
  <si>
    <t>24.02.2017</t>
  </si>
  <si>
    <t>SPA170002145</t>
  </si>
  <si>
    <t>CMR170059313</t>
  </si>
  <si>
    <t>CMR170059469</t>
  </si>
  <si>
    <t>CMR170061237</t>
  </si>
  <si>
    <t>CMR170059749</t>
  </si>
  <si>
    <t>28.02.2017</t>
  </si>
  <si>
    <t>SPA170000511</t>
  </si>
  <si>
    <t>31.12.2017.</t>
  </si>
  <si>
    <t>01.03.2017</t>
  </si>
  <si>
    <t>02.03.2017</t>
  </si>
  <si>
    <t xml:space="preserve"> CMR170056929</t>
  </si>
  <si>
    <t>2`246.00</t>
  </si>
  <si>
    <t>2`000.00</t>
  </si>
  <si>
    <t>3`880.00 </t>
  </si>
  <si>
    <t>2`250.00</t>
  </si>
  <si>
    <t>შპს "ჯორჯია თუდეი"</t>
  </si>
  <si>
    <t>Kaus media services</t>
  </si>
  <si>
    <t>ღონისძიების ორგანიზება ბერლინის გამოფენაზე</t>
  </si>
  <si>
    <t>ააიპ ტრენინგების საერთაშორისო ცენტრი</t>
  </si>
  <si>
    <t>გიდის უნარ-ჩვევების შემსწავლელი ტრენინგი</t>
  </si>
  <si>
    <t>შპს "თეგეტა მოტორსი"</t>
  </si>
  <si>
    <t>ავტომობილების შეკეთება</t>
  </si>
  <si>
    <t>შპს ჯი-ემ-თი მთაწმინდა</t>
  </si>
  <si>
    <t>ი.მ. რობიზონ ქავთარაძე</t>
  </si>
  <si>
    <t>შპს "სასტუმრო გუდაური ინნ"</t>
  </si>
  <si>
    <t>CMR170064039</t>
  </si>
  <si>
    <t>06.03.2017</t>
  </si>
  <si>
    <t>07.03.2017</t>
  </si>
  <si>
    <t>SPA170000515</t>
  </si>
  <si>
    <t>SPA170002579</t>
  </si>
  <si>
    <t>10.03.2017</t>
  </si>
  <si>
    <t>1`115.00</t>
  </si>
  <si>
    <t xml:space="preserve">
შპს მაგთიკომი </t>
  </si>
  <si>
    <t>3`168.00 </t>
  </si>
  <si>
    <t>50.00 </t>
  </si>
  <si>
    <t>1`749.50</t>
  </si>
  <si>
    <t>2`050.00 </t>
  </si>
  <si>
    <t>CMR170060850</t>
  </si>
  <si>
    <t>130.00 </t>
  </si>
  <si>
    <t>CMR170063883</t>
  </si>
  <si>
    <t>CMR170061224</t>
  </si>
  <si>
    <t>CMR170063468</t>
  </si>
  <si>
    <t>1`500.00 </t>
  </si>
  <si>
    <t>30.00 </t>
  </si>
  <si>
    <t>CMR170062926</t>
  </si>
  <si>
    <t>CMR170064262</t>
  </si>
  <si>
    <t>CMR170062510</t>
  </si>
  <si>
    <t>CMR170062489</t>
  </si>
  <si>
    <t>CMR170065824</t>
  </si>
  <si>
    <t>1`400.00</t>
  </si>
  <si>
    <t>CMR170066754</t>
  </si>
  <si>
    <t>CMR170067408</t>
  </si>
  <si>
    <t>CMR170067411</t>
  </si>
  <si>
    <t>CMR170067414</t>
  </si>
  <si>
    <t>5`410.30</t>
  </si>
  <si>
    <t>4`519.98</t>
  </si>
  <si>
    <t>CMR170068293</t>
  </si>
  <si>
    <t>7`113.66</t>
  </si>
  <si>
    <t>92`880.24</t>
  </si>
  <si>
    <t>შპს "interexpo LTD"</t>
  </si>
  <si>
    <t>უკრაინის გამოფენაზე სტენდის მშენებლობა</t>
  </si>
  <si>
    <t>შპს "Roomen Exhibits (beijing) Co. Ltd"</t>
  </si>
  <si>
    <t>ჩინეთის გამოფენაზე სტენდის მშენებლობა</t>
  </si>
  <si>
    <t>"eSubstance Ltd T/A ink"</t>
  </si>
  <si>
    <t>სარეკლამო კამპანია - ვიზეარი</t>
  </si>
  <si>
    <t>შპს "გზაჯვარედინი"</t>
  </si>
  <si>
    <t>ღვინის გზის პროექტი მეორე ეტაპი</t>
  </si>
  <si>
    <t>შპს "Comples Pro"</t>
  </si>
  <si>
    <t>პრინტერის შეკეთება</t>
  </si>
  <si>
    <t>შპს "თიჯიეს - კკ ჯგუფი"</t>
  </si>
  <si>
    <t>მარკეტინგის ტრენინგი</t>
  </si>
  <si>
    <t>სს "საქართველოს რკინიგზა"</t>
  </si>
  <si>
    <t>ბილეთების შესყიდვა</t>
  </si>
  <si>
    <t>შპს "გრიინ ინვესტ"</t>
  </si>
  <si>
    <t>შპს "კოლხური სახლი"</t>
  </si>
  <si>
    <t>შპს "ატმ-ანბანის კოშკის მენეჯმენტი"</t>
  </si>
  <si>
    <t>შპს "სითი აუტო"</t>
  </si>
  <si>
    <t>ტრანსპორტის მომსახურება</t>
  </si>
  <si>
    <t>შპს "ალიანს მედია"</t>
  </si>
  <si>
    <t>სარეკლამო კამპანია - ტელევიზიები</t>
  </si>
  <si>
    <t>სარეკლამო ბანერის დამზადება</t>
  </si>
  <si>
    <t>შპს "ბიმარკ გრუპი"</t>
  </si>
  <si>
    <t>რეკლამა ჟურნალში ინტერიერი</t>
  </si>
  <si>
    <t>შპს "დიჯითალ ედს"</t>
  </si>
  <si>
    <t>ზაფხულის ონლაინ კამპანია</t>
  </si>
  <si>
    <t>შპს "ვებერი"</t>
  </si>
  <si>
    <t>შპს "ტოპ გრუპი"</t>
  </si>
  <si>
    <t>"Mega Vision LLC"</t>
  </si>
  <si>
    <t>სტენდის მშენებლობა ბაქოს გამოფენაზე</t>
  </si>
  <si>
    <t>შპს "დალმა"</t>
  </si>
  <si>
    <t>ბრენდირებული სასაჩუქრე მასალები</t>
  </si>
  <si>
    <t>14.03.2017</t>
  </si>
  <si>
    <t>15.03.2017</t>
  </si>
  <si>
    <t>SPA170001967</t>
  </si>
  <si>
    <t>16.03.2017</t>
  </si>
  <si>
    <t>SPA170001987</t>
  </si>
  <si>
    <t>17.03.2017</t>
  </si>
  <si>
    <t>CMR170069655</t>
  </si>
  <si>
    <t>CMR170070462</t>
  </si>
  <si>
    <t>CMR170070471</t>
  </si>
  <si>
    <t>CMR170070482</t>
  </si>
  <si>
    <t>20.03.2017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</si>
  <si>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2017 წლის 14 მარტის  #493 განკარგულების საფუძველზე (SMP1700000619)</t>
  </si>
  <si>
    <t>CMR170071338</t>
  </si>
  <si>
    <t>22.03.2017</t>
  </si>
  <si>
    <t>CMR170072508</t>
  </si>
  <si>
    <t>23.03.2017</t>
  </si>
  <si>
    <t>CMR170072790</t>
  </si>
  <si>
    <t>CMR170072822</t>
  </si>
  <si>
    <t>31.17.2017</t>
  </si>
  <si>
    <t>SPA170002304</t>
  </si>
  <si>
    <t>1`528.00</t>
  </si>
  <si>
    <t>CMR170070557</t>
  </si>
  <si>
    <t>1`160.00</t>
  </si>
  <si>
    <t>4`462.50 </t>
  </si>
  <si>
    <t>1`600.00</t>
  </si>
  <si>
    <t>1`100.00 </t>
  </si>
  <si>
    <t>2`000.00 </t>
  </si>
  <si>
    <t>150.00 </t>
  </si>
  <si>
    <t>CMR170064670</t>
  </si>
  <si>
    <t>4`176.00 </t>
  </si>
  <si>
    <t>შპს "ორიენტ ლოჯიკი"</t>
  </si>
  <si>
    <t>დიაგნოსტიკური მომსახურება</t>
  </si>
  <si>
    <t>CMR170066039</t>
  </si>
  <si>
    <t>CMR170075099</t>
  </si>
  <si>
    <t>CMR170075885</t>
  </si>
  <si>
    <t>55.00 </t>
  </si>
  <si>
    <t>შპს "როიალ ბატონი"</t>
  </si>
  <si>
    <t>შპს "ვალოდიას დუქანი"</t>
  </si>
  <si>
    <t>ფ.პ. მაია მდივნიშვილი</t>
  </si>
  <si>
    <t>შპს "უნივერსალ ჯგუფი"</t>
  </si>
  <si>
    <t>რეცხვის მომსახურება</t>
  </si>
  <si>
    <t>შპს "ქი მენეჯმენტ სოლუშენს"</t>
  </si>
  <si>
    <t>სატრენინგო მომსახურება - აგრო</t>
  </si>
  <si>
    <t>ფ.პ. ანა უთურგაური</t>
  </si>
  <si>
    <t>შპს "გრანდ ჰოტელ უშბა"</t>
  </si>
  <si>
    <t>შპს "კარგო ლოჯისტიკს გრუპ ჯორჯია"</t>
  </si>
  <si>
    <t>ცოცხალი მცენარეების შესყიდვა</t>
  </si>
  <si>
    <t>შპს "ვიზარდ ივენთი"</t>
  </si>
  <si>
    <t>მთის კურორტების კონფერენციის ღონისძიების ორგანიზება</t>
  </si>
  <si>
    <t>შპს "ლოპოტა"</t>
  </si>
  <si>
    <t>ფიჭური კავშირგაბმულობის მომსახურება</t>
  </si>
  <si>
    <t>შპს "TLC Tbilisi language center"</t>
  </si>
  <si>
    <t>ინგლისური ენის ტრენინგი</t>
  </si>
  <si>
    <t>საბურავების შესყიდვა</t>
  </si>
  <si>
    <t>შპს "ალი გრუპ"</t>
  </si>
  <si>
    <t>საინფორმაციო ცენტრის მომსახურება</t>
  </si>
  <si>
    <t>შპს "ქარელის აგრო-ინდუსტრიული კომპანია"</t>
  </si>
  <si>
    <t>გამომშრალი ხილის შესყიდვა</t>
  </si>
  <si>
    <t>შპს "ვარძია"</t>
  </si>
  <si>
    <t>შპს "ვანილა სქაი"</t>
  </si>
  <si>
    <t>შპს "ზურულდი"</t>
  </si>
  <si>
    <t>ააიპ "სპორტული კლუბი MIA FORCE"</t>
  </si>
  <si>
    <t>სარეკლამო კამპანია - ძარიანი ავტომობილების საერთაშორისო სერიების ფარგლებში</t>
  </si>
  <si>
    <t>შპს "რეზონი"</t>
  </si>
  <si>
    <t>საპრომოციო მასალის ბეჭდვის მომსახურება</t>
  </si>
  <si>
    <t>შპს "მოდერნ გრაფიკი"</t>
  </si>
  <si>
    <t>ნაბეჭდი მასალის სარეკლამო სივრცეზე განთავსება</t>
  </si>
  <si>
    <t>შპს "Trip advisor"</t>
  </si>
  <si>
    <t>შპს "დაბი გრუპ ჯორჯია"</t>
  </si>
  <si>
    <t>შპს "ესთიაი ჯორჯია"</t>
  </si>
  <si>
    <t>შპს "ბითიელი"</t>
  </si>
  <si>
    <t>შპს "თეთრი ხიდი"</t>
  </si>
  <si>
    <t>ი.მ. სიმონ რუაძე</t>
  </si>
  <si>
    <t>ი.მ. ნინო კვერნაძე</t>
  </si>
  <si>
    <t>ფ.პ. ზვიად ბეჭვაია</t>
  </si>
  <si>
    <t>შპს "ჯობს.ჯი"</t>
  </si>
  <si>
    <t>განცხადების განთავსება</t>
  </si>
  <si>
    <t>შპს "ლეპტოპ ცენტრი"</t>
  </si>
  <si>
    <t>კომპიუტერის შეკეთება</t>
  </si>
  <si>
    <t>შპს "ობჯექთს"</t>
  </si>
  <si>
    <t>სტენდის შესყიდვა და აგების მომსახურება</t>
  </si>
  <si>
    <t>შპს "სერვის ექსპრეს+"</t>
  </si>
  <si>
    <t>მონიტორის შეკეთება</t>
  </si>
  <si>
    <t>შპს "მეტრო სტუდიო"</t>
  </si>
  <si>
    <t>დამატებითი კადრების გადაღება ზამთრის ვიდეო რგოლზე</t>
  </si>
  <si>
    <t>შპს "ბეთერ ფლაი"</t>
  </si>
  <si>
    <t>სატელემაუწყებლო მომსახურება</t>
  </si>
  <si>
    <t>ფ.პ. ია ღებრანძე</t>
  </si>
  <si>
    <t>შპს "ჯიემთი მთაწმინდა"</t>
  </si>
  <si>
    <t>შპს "რესტორან-მუზეუმი გუჯარი"</t>
  </si>
  <si>
    <t>შპს "სერვისეირი"</t>
  </si>
  <si>
    <t>შპს "გურმე"</t>
  </si>
  <si>
    <t>ი.მ. გიორგი კობალაძე</t>
  </si>
  <si>
    <t>დაბა ბაკურიანის საინფორმაციო ცენტრის საპროექტო-საინჟინრო სამუშაოები</t>
  </si>
  <si>
    <t>ფ.პ. მარიამ გოგოსაშვილი</t>
  </si>
  <si>
    <t>შპს "სითი ავტო"</t>
  </si>
  <si>
    <t>ი.მ. ლალი ლოხიშვილი</t>
  </si>
  <si>
    <t>თარგმნა და ნოტარიული დამოწმება</t>
  </si>
  <si>
    <t>შპს "EXPO Dinex"</t>
  </si>
  <si>
    <t>საგამოფენო სტენდის მშენებლობა ყაზახეთის გამოფენაზე</t>
  </si>
  <si>
    <t>27.03.2017</t>
  </si>
  <si>
    <t>CMR170078657</t>
  </si>
  <si>
    <t>CMR170078574</t>
  </si>
  <si>
    <t>CMR170078598</t>
  </si>
  <si>
    <t>SPA170003301</t>
  </si>
  <si>
    <t>CMR170075361</t>
  </si>
  <si>
    <t>01.05.2017</t>
  </si>
  <si>
    <t>CMR170077887</t>
  </si>
  <si>
    <t>CMR170077954</t>
  </si>
  <si>
    <t>CMR170077949</t>
  </si>
  <si>
    <t>CMR170077735</t>
  </si>
  <si>
    <t>CMR170078172</t>
  </si>
  <si>
    <t>CMR170076932</t>
  </si>
  <si>
    <t>07.05.2017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</si>
  <si>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2017 წლის 24 მარტის  #565 განკარგულების საფუძველზე (SMP1700000771)</t>
  </si>
  <si>
    <t>CMR170076237</t>
  </si>
  <si>
    <t>28.03.2017</t>
  </si>
  <si>
    <t>CMR170079139</t>
  </si>
  <si>
    <t>29.03.2017</t>
  </si>
  <si>
    <t>01.03.2018</t>
  </si>
  <si>
    <t>CMR170079662</t>
  </si>
  <si>
    <t>CMR170077580</t>
  </si>
  <si>
    <t>30.03.2017</t>
  </si>
  <si>
    <t>CMR170078796</t>
  </si>
  <si>
    <t>CMR170078632</t>
  </si>
  <si>
    <t>CMR170078100</t>
  </si>
  <si>
    <t>31.03.2017</t>
  </si>
  <si>
    <t>CMR170082856</t>
  </si>
  <si>
    <t>CMR170081627</t>
  </si>
  <si>
    <t>CMR170081638</t>
  </si>
  <si>
    <t>CMR170079150</t>
  </si>
  <si>
    <t>CMR170078107</t>
  </si>
  <si>
    <t>CMR170079901</t>
  </si>
  <si>
    <t>CMR170082578</t>
  </si>
  <si>
    <t>CMR170082684</t>
  </si>
  <si>
    <t>CMR170082555</t>
  </si>
  <si>
    <t>CMR170077586</t>
  </si>
  <si>
    <t>NAT170002186</t>
  </si>
  <si>
    <t>CMR170079154</t>
  </si>
  <si>
    <t>30.06.2018</t>
  </si>
  <si>
    <t>CMR170079012</t>
  </si>
  <si>
    <t>CMR170082467</t>
  </si>
  <si>
    <t>CMR170082438</t>
  </si>
  <si>
    <t>CMR170082828</t>
  </si>
  <si>
    <t>CMR170082415</t>
  </si>
  <si>
    <t>CMR170082405</t>
  </si>
  <si>
    <t>CMR170082394</t>
  </si>
  <si>
    <t>CMR170082867</t>
  </si>
  <si>
    <t>CMR170082459</t>
  </si>
  <si>
    <t>CMR170082651</t>
  </si>
  <si>
    <t>CMR170082821</t>
  </si>
  <si>
    <t>03.04.2017</t>
  </si>
  <si>
    <t>CMR170080055</t>
  </si>
  <si>
    <t>CMR170080060</t>
  </si>
  <si>
    <t>CMR170082461</t>
  </si>
  <si>
    <t>CMR170081820</t>
  </si>
  <si>
    <t>CMR170082513</t>
  </si>
  <si>
    <t>CMR170080068</t>
  </si>
  <si>
    <t>CMR170080073</t>
  </si>
  <si>
    <t>CMR170080075</t>
  </si>
  <si>
    <t>CMR170080077</t>
  </si>
  <si>
    <t>CMR170082503</t>
  </si>
  <si>
    <t>CMR170082497</t>
  </si>
  <si>
    <t>CMR170082543</t>
  </si>
  <si>
    <t>CMR170081497</t>
  </si>
  <si>
    <t>CMR170081786</t>
  </si>
  <si>
    <t>CMR170078920</t>
  </si>
  <si>
    <t>CMR170081780</t>
  </si>
  <si>
    <t>04.04.2017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</si>
  <si>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2017 წლის 3 აპრილის  #654 განკარგულების საფუძველზე (SMP170000910)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</si>
  <si>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2017 წლის 4 აპრილის  #685 განკარგულების საფუძველზე (SMP170000935)</t>
  </si>
  <si>
    <t>CMR170082312</t>
  </si>
  <si>
    <t>CMR170082160</t>
  </si>
  <si>
    <t>CMR170082854</t>
  </si>
  <si>
    <t>CMR170082470</t>
  </si>
  <si>
    <t>05.04.2017</t>
  </si>
  <si>
    <t>06.04.2017</t>
  </si>
  <si>
    <t>CMR170082454</t>
  </si>
  <si>
    <t>07.04.2017</t>
  </si>
  <si>
    <t>SPA170004026</t>
  </si>
  <si>
    <t>CMR170082607</t>
  </si>
  <si>
    <t>CMR170082427</t>
  </si>
  <si>
    <t>CMR170082383</t>
  </si>
  <si>
    <t>CMR170082212</t>
  </si>
  <si>
    <t>CMR170074373</t>
  </si>
  <si>
    <t>1`875.00</t>
  </si>
  <si>
    <t>CMR170067225</t>
  </si>
  <si>
    <t>CMR170067204</t>
  </si>
  <si>
    <t>17`739.43</t>
  </si>
  <si>
    <t>9`166.04</t>
  </si>
  <si>
    <t>CMR170074715</t>
  </si>
  <si>
    <t>4`740.00</t>
  </si>
  <si>
    <t>2`800.00 </t>
  </si>
  <si>
    <t>570.00 </t>
  </si>
  <si>
    <t>349.80 </t>
  </si>
  <si>
    <t>1`280.00 </t>
  </si>
  <si>
    <t>2`480.00</t>
  </si>
  <si>
    <t>4`400.00 </t>
  </si>
  <si>
    <t>50`000.00</t>
  </si>
  <si>
    <t>4`182.00</t>
  </si>
  <si>
    <t>CMR170079731</t>
  </si>
  <si>
    <t>73`707.49</t>
  </si>
  <si>
    <t>შპს მაგთიკომი</t>
  </si>
  <si>
    <t>101`920.73 </t>
  </si>
  <si>
    <t>2`300.00 </t>
  </si>
  <si>
    <t>31`680.00</t>
  </si>
  <si>
    <t>2`192.50 </t>
  </si>
  <si>
    <t>3`040.00</t>
  </si>
  <si>
    <t>CMR170067260</t>
  </si>
  <si>
    <t>1`731.25 </t>
  </si>
  <si>
    <t>3`742.00</t>
  </si>
  <si>
    <t>2`876.00</t>
  </si>
  <si>
    <t>17`464.00</t>
  </si>
  <si>
    <t>1`708.00</t>
  </si>
  <si>
    <t>CMR170082898</t>
  </si>
  <si>
    <t>7`799.20 </t>
  </si>
  <si>
    <t>4`410.00</t>
  </si>
  <si>
    <t>1`230.00</t>
  </si>
  <si>
    <t>CMR170082864</t>
  </si>
  <si>
    <t>5`332.00</t>
  </si>
  <si>
    <t>CMR170082874</t>
  </si>
  <si>
    <t>2`751.50 </t>
  </si>
  <si>
    <t>CMR170082884</t>
  </si>
  <si>
    <t>2`812.50</t>
  </si>
  <si>
    <t>1`232.70</t>
  </si>
  <si>
    <t>CMR170082890</t>
  </si>
  <si>
    <t>4`518.60</t>
  </si>
  <si>
    <t>2`960.00</t>
  </si>
  <si>
    <t>2`700.00 </t>
  </si>
  <si>
    <t>CMR170083817</t>
  </si>
  <si>
    <t>1`550.00</t>
  </si>
  <si>
    <t>993.00 </t>
  </si>
  <si>
    <t>CMR170084130</t>
  </si>
  <si>
    <t>CMR170084126</t>
  </si>
  <si>
    <t>CMR170084122</t>
  </si>
  <si>
    <t>CMR170084484</t>
  </si>
  <si>
    <t>CMR170083812</t>
  </si>
  <si>
    <t>CMR170082906</t>
  </si>
  <si>
    <t>2`990.00</t>
  </si>
  <si>
    <t>სპეციალიზირებული კლასის ავტომობილის ტექნიკური მომსახურება</t>
  </si>
  <si>
    <t>10.02.2016</t>
  </si>
  <si>
    <t>CMR160053728</t>
  </si>
  <si>
    <t>რომპერტოლ საქართველო</t>
  </si>
  <si>
    <t>საწვავი - ბენზინი</t>
  </si>
  <si>
    <t xml:space="preserve">სს "სილქნეტი"   </t>
  </si>
  <si>
    <t>სატელეკომუნიკაციო მომსახურება</t>
  </si>
  <si>
    <t>06.01.2016</t>
  </si>
  <si>
    <t>31.12.2015</t>
  </si>
  <si>
    <t>CON150000066</t>
  </si>
  <si>
    <t>CON150000069</t>
  </si>
  <si>
    <t>CMR160012346</t>
  </si>
  <si>
    <t>CMR160012359</t>
  </si>
  <si>
    <t>(სახელმწიფო შესყიდვების სააგენტოს თავმჯდომარის 2015 წლის 17 აგვისტოს №13 ბრძანებით დამტკიცებული „გამარტივებული შესყიდვის კრიტერიუმებისა და გამარტივებული შესყიდვის ჩატარების წესის“ მე-3 მუხლის პირველი პუნქტების „ა“ ქვეპუნქტის და სახელმწიფო შესყიდვების სააგენტოს თავმჯდომარის 2015 წლის 31 დეკემბრის №1963 განკარგულების შესაბამისად (SMP150001428))</t>
  </si>
  <si>
    <t>CMR160003692</t>
  </si>
  <si>
    <t>CMR160033894</t>
  </si>
  <si>
    <t>სახელმძღვანელოს ბეჭდვა</t>
  </si>
  <si>
    <t>ი.მ. ალექსანდრე იურევიჩ ვენჯინი"</t>
  </si>
  <si>
    <t>ონლაინ სარეკლამო კამპანია რუსეთის ფედერაციაში</t>
  </si>
  <si>
    <t>ფ.პ. ვიქტორია ბერიაშვილი</t>
  </si>
  <si>
    <t>შპს "ITL Leisure Tourism and Travel company"</t>
  </si>
  <si>
    <t>პრეზენტაციების ორგანიზება საუდის არაბეთში"</t>
  </si>
  <si>
    <t>შპს "ქართული მემკვიდრეობა"</t>
  </si>
  <si>
    <t>შპს "საგვარეულო მარანი"</t>
  </si>
  <si>
    <t>ფ.პ. ქეთევან ახობაძე</t>
  </si>
  <si>
    <t>შპს "ვი აი პი თრეველი"</t>
  </si>
  <si>
    <t>ფ.პ. ალექსანდრე პაიკიძე</t>
  </si>
  <si>
    <t>ღვინის გიდის ტრენინგი</t>
  </si>
  <si>
    <t>ფ.პ. ემილი ვუდი</t>
  </si>
  <si>
    <t xml:space="preserve">სატრენინგო მომსახურება </t>
  </si>
  <si>
    <t>შპს "მაქრო ტურიზმი"</t>
  </si>
  <si>
    <t>შპს "დეკორი"</t>
  </si>
  <si>
    <t>საკანცელარიო საქონელის შესყიდვა</t>
  </si>
  <si>
    <t>შპს "ჰბ გუდაური"</t>
  </si>
  <si>
    <t>ი.მ. რამაზი კვატაშიძე</t>
  </si>
  <si>
    <t>ი.მ. ნიკოლოზ ბენიძე</t>
  </si>
  <si>
    <t>შპს "ბულაჩაური 2017"</t>
  </si>
  <si>
    <t>შპს "სიტი პარკი"</t>
  </si>
  <si>
    <t>ავტომობილის სადგომის ღირებულება</t>
  </si>
  <si>
    <t>შპს "fairservices.net"</t>
  </si>
  <si>
    <t>სტენდის აგების მომსახურება ფრანკფურტის გამოფენაზე</t>
  </si>
  <si>
    <t>შპს "Mind Spirit Designs &amp; works LLC"</t>
  </si>
  <si>
    <t>სტენდის აგების მომსახურება დუბაის გამოფენაზე</t>
  </si>
  <si>
    <t>ფ.პ. ჯული პილინგტონი</t>
  </si>
  <si>
    <t>სატრენინგო მომსახურება</t>
  </si>
  <si>
    <t>შპს "GIOX"</t>
  </si>
  <si>
    <t>უნიფორმები</t>
  </si>
  <si>
    <t>სს "გამოფენების ცენტრი"</t>
  </si>
  <si>
    <t>Travelscape, LLC</t>
  </si>
  <si>
    <t>ინტერნეტ სარეკლამო კამპანია</t>
  </si>
  <si>
    <t>ზეთის შესყიდვა</t>
  </si>
  <si>
    <t>შპს "ფანო"</t>
  </si>
  <si>
    <t xml:space="preserve"> რეზინის ხელთათმანების შესყიდვა</t>
  </si>
  <si>
    <t>პოლიეთილენის პარკის შესყიდვა</t>
  </si>
  <si>
    <t>შპს "აუთლაინი"</t>
  </si>
  <si>
    <t>სარეკლამო კამპანიის ორგანიზების მომსახურების შესყიდვა</t>
  </si>
  <si>
    <t>შპს "ჯეო ტექსტილი"</t>
  </si>
  <si>
    <t>ბრენდირებული მაისურების შესყიდვა</t>
  </si>
  <si>
    <t>შპს ვიპ თრეველ ჯორჯია</t>
  </si>
  <si>
    <t>ი.მ. შორენა რობიტაშვილი</t>
  </si>
  <si>
    <t>შპს "IRRICULT GE"</t>
  </si>
  <si>
    <t>ი.მ ნიკოლოზ ბენიძე</t>
  </si>
  <si>
    <t>ი.მ თენგიზ თაბუნიძე</t>
  </si>
  <si>
    <t>შპს ავტო ტრანსპორტ სერვისი</t>
  </si>
  <si>
    <t>შპს ჯი-ემ-თი</t>
  </si>
  <si>
    <t>შპს სითი ლოფტი</t>
  </si>
  <si>
    <t>ი.მ. ელენა საფრონოვა-ბოლოთაშვილი</t>
  </si>
  <si>
    <t>ქართული ღვინის შესყიდვა</t>
  </si>
  <si>
    <t>შპს თურსა</t>
  </si>
  <si>
    <t xml:space="preserve"> საწმენდი და საპრიალებელი პროდუქცია</t>
  </si>
  <si>
    <t>10.04.2017</t>
  </si>
  <si>
    <t>SPA170003300</t>
  </si>
  <si>
    <t>12.04.2017</t>
  </si>
  <si>
    <t>CMR170085923</t>
  </si>
  <si>
    <t>CMR170085632</t>
  </si>
  <si>
    <t>13.04.2017</t>
  </si>
  <si>
    <t>CMR170088036</t>
  </si>
  <si>
    <t>CMR170087547</t>
  </si>
  <si>
    <t>CMR170086600</t>
  </si>
  <si>
    <t>CMR170086610</t>
  </si>
  <si>
    <t>CMR170086793</t>
  </si>
  <si>
    <t>CMR170088071</t>
  </si>
  <si>
    <t>CMR170085843</t>
  </si>
  <si>
    <t>CMR170085623</t>
  </si>
  <si>
    <t>CMR170085626</t>
  </si>
  <si>
    <t>CMR170085731</t>
  </si>
  <si>
    <t>18.04.2017</t>
  </si>
  <si>
    <t>CMR170090195</t>
  </si>
  <si>
    <t>CMR170088710</t>
  </si>
  <si>
    <t>CMR170090466</t>
  </si>
  <si>
    <t>CMR170089294</t>
  </si>
  <si>
    <t>CMR170088740</t>
  </si>
  <si>
    <t xml:space="preserve"> CMR170090813</t>
  </si>
  <si>
    <t>CMR170089091</t>
  </si>
  <si>
    <t>SPA170004769</t>
  </si>
  <si>
    <t>19.04.2017</t>
  </si>
  <si>
    <t xml:space="preserve"> CMR170089167</t>
  </si>
  <si>
    <t>CMR170088838</t>
  </si>
  <si>
    <t>CMR170088846</t>
  </si>
  <si>
    <t>CMR170088855</t>
  </si>
  <si>
    <t>63700000</t>
  </si>
  <si>
    <t>CMR170086801</t>
  </si>
  <si>
    <t>39100000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</si>
  <si>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2017 წლის 23 მარტის  #539 განკარგულების საფუძველზე (SMP170000735)</t>
  </si>
  <si>
    <t>CMR170087289</t>
  </si>
  <si>
    <t>CMR170087244</t>
  </si>
  <si>
    <t>20.04.2017</t>
  </si>
  <si>
    <t>80500000</t>
  </si>
  <si>
    <t>CMR170087514</t>
  </si>
  <si>
    <t>18100000</t>
  </si>
  <si>
    <t>SPA170004536</t>
  </si>
  <si>
    <t>55300000</t>
  </si>
  <si>
    <t xml:space="preserve"> CMR170087854</t>
  </si>
  <si>
    <t>79300000</t>
  </si>
  <si>
    <t>CMR170088571</t>
  </si>
  <si>
    <t>CMR170089985</t>
  </si>
  <si>
    <t>21.04.2017</t>
  </si>
  <si>
    <t>09200000</t>
  </si>
  <si>
    <t>24.04.2017</t>
  </si>
  <si>
    <t>18400000</t>
  </si>
  <si>
    <t>CMR170088780</t>
  </si>
  <si>
    <t>19600000</t>
  </si>
  <si>
    <t>CMR170088806</t>
  </si>
  <si>
    <t>CMR170089712</t>
  </si>
  <si>
    <t>18300000</t>
  </si>
  <si>
    <t>SPA170004772</t>
  </si>
  <si>
    <t>55100000</t>
  </si>
  <si>
    <t>60100000</t>
  </si>
  <si>
    <t>63500000</t>
  </si>
  <si>
    <t>25.04.2017</t>
  </si>
  <si>
    <t>60400000</t>
  </si>
  <si>
    <t>CMR170090800</t>
  </si>
  <si>
    <t xml:space="preserve"> CMR170090807</t>
  </si>
  <si>
    <t>26.04.2017</t>
  </si>
  <si>
    <t>92500000</t>
  </si>
  <si>
    <t>15900000</t>
  </si>
  <si>
    <t>39800000</t>
  </si>
  <si>
    <t xml:space="preserve">საქართველოს კანონი სახელმწიფო შესყიდვების შესახებ, მე-3 მუხლის 1  პუნქტის "ს1" ქვეპუნქტი </t>
  </si>
  <si>
    <t>39500000</t>
  </si>
  <si>
    <t>CMR170084964</t>
  </si>
  <si>
    <t>8`028.69</t>
  </si>
  <si>
    <t>4`932.00</t>
  </si>
  <si>
    <t>1`200.00</t>
  </si>
  <si>
    <t>შპს "აერო ექსპედიშენ"</t>
  </si>
  <si>
    <t>სს "ნინო"</t>
  </si>
  <si>
    <t>CMR170085134</t>
  </si>
  <si>
    <t>CMR170085169</t>
  </si>
  <si>
    <t>CMR170085329</t>
  </si>
  <si>
    <t>7`298.70</t>
  </si>
  <si>
    <t>3`000.00</t>
  </si>
  <si>
    <t>1`075.00</t>
  </si>
  <si>
    <t>57`525.00</t>
  </si>
  <si>
    <t>CMR170082464</t>
  </si>
  <si>
    <t>35`091.34</t>
  </si>
  <si>
    <t>CMR170085376</t>
  </si>
  <si>
    <t>CMR170085182</t>
  </si>
  <si>
    <t>1`948.88 </t>
  </si>
  <si>
    <t>335.00 </t>
  </si>
  <si>
    <t>CMR170086604</t>
  </si>
  <si>
    <t>8`520.88</t>
  </si>
  <si>
    <t>2`210.00 </t>
  </si>
  <si>
    <t>CMR170072993</t>
  </si>
  <si>
    <t>2`112.00</t>
  </si>
  <si>
    <t>CMR170084946</t>
  </si>
  <si>
    <t>28`920.71</t>
  </si>
  <si>
    <t>2`287.50</t>
  </si>
  <si>
    <t>CMR170085025</t>
  </si>
  <si>
    <t>4`000.00</t>
  </si>
  <si>
    <t>1`089.00 </t>
  </si>
  <si>
    <t>CMR170089154</t>
  </si>
  <si>
    <t>339.46 </t>
  </si>
  <si>
    <t>1`032.90</t>
  </si>
  <si>
    <t>1`275.00</t>
  </si>
  <si>
    <t>2`950.00</t>
  </si>
  <si>
    <t>1`470.00</t>
  </si>
  <si>
    <t>CMR170084546</t>
  </si>
  <si>
    <t>1`073.82 </t>
  </si>
  <si>
    <t>1`656.25</t>
  </si>
  <si>
    <t>1`750.00 </t>
  </si>
  <si>
    <t>29`957.40 </t>
  </si>
  <si>
    <t>ი.მ. ელიზბარ კუტალია</t>
  </si>
  <si>
    <t xml:space="preserve">შპს "ავიაქსელი" </t>
  </si>
  <si>
    <t>შპს ვარძია</t>
  </si>
  <si>
    <t>შპს ლოპოტა</t>
  </si>
  <si>
    <t>ფ.პ. მედეა მუმლაძე</t>
  </si>
  <si>
    <t>შპს ინტერჯორჯია</t>
  </si>
  <si>
    <t>ი.მ ნანული ჭელიძე</t>
  </si>
  <si>
    <t>ფ.პ. თამარ ნათენაძე</t>
  </si>
  <si>
    <t>შპს სავაჭრო სახლი კახელები</t>
  </si>
  <si>
    <t>შპს მუზეუმი</t>
  </si>
  <si>
    <t>ი.მ ბაბუა ალუდაური</t>
  </si>
  <si>
    <t>შპს ბორჯომი ლიკანი ინტერნეიშენალი</t>
  </si>
  <si>
    <t>შპს სითი აუტო</t>
  </si>
  <si>
    <t>შპს ესთიაი ჯორჯია</t>
  </si>
  <si>
    <t>შპს ბითიელი</t>
  </si>
  <si>
    <t>შპს ქარხანა</t>
  </si>
  <si>
    <t>შპს აიღვინის სახლი</t>
  </si>
  <si>
    <t>შპს ვილა იყალთო ჰო-რე-კა</t>
  </si>
  <si>
    <t>ფ.პ. გიორგი დარციმელია</t>
  </si>
  <si>
    <t>შპს კ &amp; მ რესტორნები</t>
  </si>
  <si>
    <t>შპს პარკ ჰოტელი</t>
  </si>
  <si>
    <t>შპს შავი ლომი</t>
  </si>
  <si>
    <t>შპს რესტორანი ძველი მეტეხი</t>
  </si>
  <si>
    <t>შპს ქართული რესტორანი</t>
  </si>
  <si>
    <t>შპს საერთაშორისო კორპორაცია აი სი არ</t>
  </si>
  <si>
    <t>ი.მ. ნანული ჭელიძე</t>
  </si>
  <si>
    <t>შპს "144 სთეარს კაფე ოუთ გალერი"</t>
  </si>
  <si>
    <t>შპს "თრეველსტუდიო"</t>
  </si>
  <si>
    <t>შპს "ლაზი"</t>
  </si>
  <si>
    <t>ფ.პ. ირაკლი ზურაბაშვილი</t>
  </si>
  <si>
    <t>შპს "კარგო ლოჯისთიქს გრუფ ჯორჯია"</t>
  </si>
  <si>
    <t>სტენდის გადაზიდვა და აწყობა</t>
  </si>
  <si>
    <t>შპს "Voyage Tours LLC"</t>
  </si>
  <si>
    <t>პრეზენტაციის ორგანიზება</t>
  </si>
  <si>
    <t>ფ.პ. ზვიადი ბეჭვაია</t>
  </si>
  <si>
    <t>სსიპ დაცვის პოლიციის დეპარტამენტი</t>
  </si>
  <si>
    <t>ბაკურიანის საინფორმაციო ცენტრის დაცვით მომსახურება</t>
  </si>
  <si>
    <t>შპს "ჯი-ემ-თი მთაწმინდა"</t>
  </si>
  <si>
    <t>შპს "ქეთო და კოტე"</t>
  </si>
  <si>
    <t>ფ.პ. ირაკლი ჩაფიჩაძე</t>
  </si>
  <si>
    <t>ფ.პ. სოფიო მაყაშვილი</t>
  </si>
  <si>
    <t>შპს "JSTAR Management Solution Co. Ltd"</t>
  </si>
  <si>
    <t>სტენდის აგების მომსახურება კორეის გამოფენაზე</t>
  </si>
  <si>
    <t>შპს "ალეგრო"</t>
  </si>
  <si>
    <t>შპს "ჯორჯიან ჰოტელ მენეჯმენტი"</t>
  </si>
  <si>
    <t>შპს "სასტუმრო ანაკლია"</t>
  </si>
  <si>
    <t>შპს "შანო კაპიტალი"</t>
  </si>
  <si>
    <t>შპს "არგო მენეჯმენტი"</t>
  </si>
  <si>
    <t>შპს "პალატი"</t>
  </si>
  <si>
    <t>ფლაერების ბეჭდვა</t>
  </si>
  <si>
    <t>შპს "სააჩი ენდ სააჩი"</t>
  </si>
  <si>
    <t>სარეკლამო და მარკეტინგული მომსახურება</t>
  </si>
  <si>
    <t>შპს "ავენტურა"</t>
  </si>
  <si>
    <t>ნებართვა სტატიის გამოყენებაზე</t>
  </si>
  <si>
    <t>LLC Guardian</t>
  </si>
  <si>
    <t>შპს "წანარეთი"</t>
  </si>
  <si>
    <t>შპს "ხევი"</t>
  </si>
  <si>
    <t>შპს "მეხუთე სეზონი"</t>
  </si>
  <si>
    <t>ი.მ. პავლე დავაძე</t>
  </si>
  <si>
    <t>ი.მ. დალი ჩუბინიძე</t>
  </si>
  <si>
    <t>ააიპ "დასტაქარი"</t>
  </si>
  <si>
    <t>ფ.პ. მაიკო ქავთარაძე</t>
  </si>
  <si>
    <t>შპს "ვიპ თრეველ ჯორჯია"</t>
  </si>
  <si>
    <t>ი.მ. თეიმურაზ მოდებაძე</t>
  </si>
  <si>
    <t>შპს "მუხამბაზ გარდენ"</t>
  </si>
  <si>
    <t>შპს "ნიუ სერვის გრუპი"</t>
  </si>
  <si>
    <t>ფ.პ. მარიამ კერესელიძე</t>
  </si>
  <si>
    <t>თარგმნის მომასახურება</t>
  </si>
  <si>
    <t>შპს "ოპტიმალ სერვისი"</t>
  </si>
  <si>
    <t>სარეკლამო მასალების შესყიდვა</t>
  </si>
  <si>
    <t>CMR170095597</t>
  </si>
  <si>
    <t>27.04.2017</t>
  </si>
  <si>
    <t>CMR170095779</t>
  </si>
  <si>
    <t>28.04.2017</t>
  </si>
  <si>
    <t>CMR170095520</t>
  </si>
  <si>
    <t>CMR170096614</t>
  </si>
  <si>
    <t>CMR170094967</t>
  </si>
  <si>
    <t>CMR170094952</t>
  </si>
  <si>
    <t>CMR170095173</t>
  </si>
  <si>
    <t>CMR170096668</t>
  </si>
  <si>
    <t>CMR170096662</t>
  </si>
  <si>
    <t>CMR170096270</t>
  </si>
  <si>
    <t>CMR170096197</t>
  </si>
  <si>
    <t>CMR170095538</t>
  </si>
  <si>
    <t>CMR170092565</t>
  </si>
  <si>
    <t>CMR170096498</t>
  </si>
  <si>
    <t>CMR170092560</t>
  </si>
  <si>
    <t>CMR170095790</t>
  </si>
  <si>
    <t>CMR170095791</t>
  </si>
  <si>
    <t>CMR170095822</t>
  </si>
  <si>
    <t>CMR170096673</t>
  </si>
  <si>
    <t>CMR170095821</t>
  </si>
  <si>
    <t>CMR170097168</t>
  </si>
  <si>
    <t>CMR170097381</t>
  </si>
  <si>
    <t>CMR170097344</t>
  </si>
  <si>
    <t>CMR170097149</t>
  </si>
  <si>
    <t>CMR170097306</t>
  </si>
  <si>
    <t>CMR170092747</t>
  </si>
  <si>
    <t>CMR170097319</t>
  </si>
  <si>
    <t>CMR170092777</t>
  </si>
  <si>
    <t>CMR170092654</t>
  </si>
  <si>
    <t>CMR170092757</t>
  </si>
  <si>
    <t>CMR170092741</t>
  </si>
  <si>
    <t>CMR170098491</t>
  </si>
  <si>
    <t>CMR170097333</t>
  </si>
  <si>
    <t>CMR170095820</t>
  </si>
  <si>
    <t>CMR170094368</t>
  </si>
  <si>
    <t>CMR170093352</t>
  </si>
  <si>
    <t>CMR170097605</t>
  </si>
  <si>
    <t>CMR170096207</t>
  </si>
  <si>
    <t>60100001</t>
  </si>
  <si>
    <t>CMR170097645</t>
  </si>
  <si>
    <t>02.05.2017</t>
  </si>
  <si>
    <t>60100002</t>
  </si>
  <si>
    <t>CMR170097144</t>
  </si>
  <si>
    <t>CMR170095214</t>
  </si>
  <si>
    <t>CMR170095532</t>
  </si>
  <si>
    <t>CMR170098534</t>
  </si>
  <si>
    <t>CMR170098524</t>
  </si>
  <si>
    <t>CMR170098536</t>
  </si>
  <si>
    <t>03.05.2017</t>
  </si>
  <si>
    <t>CMR170096227</t>
  </si>
  <si>
    <t>CMR170096219</t>
  </si>
  <si>
    <t>CMR170097629</t>
  </si>
  <si>
    <t>63100000</t>
  </si>
  <si>
    <t>SPA170005888</t>
  </si>
  <si>
    <t>CMR170094274</t>
  </si>
  <si>
    <t>CMR170098331</t>
  </si>
  <si>
    <t>797000000</t>
  </si>
  <si>
    <t>CMR170097657</t>
  </si>
  <si>
    <t>CMR170097641</t>
  </si>
  <si>
    <t>04.05.2017</t>
  </si>
  <si>
    <t>CMR170097622</t>
  </si>
  <si>
    <t>CMR170098531</t>
  </si>
  <si>
    <t>CMR170098525</t>
  </si>
  <si>
    <t>CMR170098537</t>
  </si>
  <si>
    <t>05.05.2017</t>
  </si>
  <si>
    <t>CMR170097058</t>
  </si>
  <si>
    <t>CMR170097122</t>
  </si>
  <si>
    <t>CMR170097041</t>
  </si>
  <si>
    <t>CMR170096135</t>
  </si>
  <si>
    <t>CMR170098539</t>
  </si>
  <si>
    <t>CMR170098528</t>
  </si>
  <si>
    <t>08.05.2017</t>
  </si>
  <si>
    <t>CMR170097642</t>
  </si>
  <si>
    <t>79800000</t>
  </si>
  <si>
    <t>10.05.2017</t>
  </si>
  <si>
    <t>98300000</t>
  </si>
  <si>
    <t>CMR170098297</t>
  </si>
  <si>
    <t>11.05.2017</t>
  </si>
  <si>
    <t>CMR170099163</t>
  </si>
  <si>
    <t>CMR170099189</t>
  </si>
  <si>
    <t>CMR170099177</t>
  </si>
  <si>
    <t>CMR170099106</t>
  </si>
  <si>
    <t>79500000</t>
  </si>
  <si>
    <t>CMR170099012</t>
  </si>
  <si>
    <t>CMR170099097</t>
  </si>
  <si>
    <t>15.05.2017</t>
  </si>
  <si>
    <t>22400000</t>
  </si>
  <si>
    <t>437.50 </t>
  </si>
  <si>
    <t>2`630.00</t>
  </si>
  <si>
    <t>629.90 </t>
  </si>
  <si>
    <t>5`430.00</t>
  </si>
  <si>
    <t>4`112.84</t>
  </si>
  <si>
    <t>831.45 </t>
  </si>
  <si>
    <t>CMR170092587</t>
  </si>
  <si>
    <t>1`410.00</t>
  </si>
  <si>
    <t>CMR170092566</t>
  </si>
  <si>
    <t>CMR170092523</t>
  </si>
  <si>
    <t>CMR170092529</t>
  </si>
  <si>
    <t>CMR170092731</t>
  </si>
  <si>
    <t>CMR170092589</t>
  </si>
  <si>
    <t>CMR170092598</t>
  </si>
  <si>
    <t>CMR170094585</t>
  </si>
  <si>
    <t>CMR170092544</t>
  </si>
  <si>
    <t>97.35 </t>
  </si>
  <si>
    <t>1`030.00 </t>
  </si>
  <si>
    <t>99.00 </t>
  </si>
  <si>
    <t>CMR170091756</t>
  </si>
  <si>
    <t>CMR170091779</t>
  </si>
  <si>
    <t>CMR170091787</t>
  </si>
  <si>
    <t>2`997.20</t>
  </si>
  <si>
    <t>12`173.82 </t>
  </si>
  <si>
    <t>CMR170093989</t>
  </si>
  <si>
    <t>CMR170095478</t>
  </si>
  <si>
    <t>CMR170095473</t>
  </si>
  <si>
    <t>CMR170091702</t>
  </si>
  <si>
    <t>CMR170091603</t>
  </si>
  <si>
    <t>CMR170091613</t>
  </si>
  <si>
    <t>CMR170091481</t>
  </si>
  <si>
    <t>CMR170095132</t>
  </si>
  <si>
    <t>CMR170095138</t>
  </si>
  <si>
    <t>3`720.85 </t>
  </si>
  <si>
    <t>560.00 </t>
  </si>
  <si>
    <t>650.00 </t>
  </si>
  <si>
    <t>1`096.50</t>
  </si>
  <si>
    <t>202.50 </t>
  </si>
  <si>
    <t>1`000.00</t>
  </si>
  <si>
    <t>173.25 </t>
  </si>
  <si>
    <t>1`296.25</t>
  </si>
  <si>
    <t>2`602.00 </t>
  </si>
  <si>
    <t>1`187.50</t>
  </si>
  <si>
    <t>1`980.00</t>
  </si>
  <si>
    <t>61.60 </t>
  </si>
  <si>
    <t>3`150.00</t>
  </si>
  <si>
    <t>CMR170073585</t>
  </si>
  <si>
    <t>60.00 </t>
  </si>
  <si>
    <t>CMR170088162</t>
  </si>
  <si>
    <t>CMR170095784</t>
  </si>
  <si>
    <t>CMR170095786</t>
  </si>
  <si>
    <t>CMR170095788</t>
  </si>
  <si>
    <t>CMR170095783</t>
  </si>
  <si>
    <t>17.04.2017</t>
  </si>
  <si>
    <t>CMR170091055</t>
  </si>
  <si>
    <t>CMR170095990</t>
  </si>
  <si>
    <t>CMR170099367</t>
  </si>
  <si>
    <t>CMR170099396</t>
  </si>
  <si>
    <t>CMR170098747</t>
  </si>
  <si>
    <t>CMR170099660</t>
  </si>
  <si>
    <t>CMR170099236</t>
  </si>
  <si>
    <t>CMR170101537</t>
  </si>
  <si>
    <t>CMR170100516</t>
  </si>
  <si>
    <t>CMR170100915</t>
  </si>
  <si>
    <t>CMR170100973</t>
  </si>
  <si>
    <t>CMR170101014</t>
  </si>
  <si>
    <t>CMR170101000</t>
  </si>
  <si>
    <t>CMR170101009</t>
  </si>
  <si>
    <t>CMR170100928</t>
  </si>
  <si>
    <t>CMR170100990</t>
  </si>
  <si>
    <t>CMR170100114</t>
  </si>
  <si>
    <t>CMR170100610</t>
  </si>
  <si>
    <t>CMR170100922</t>
  </si>
  <si>
    <t>CMR170101466</t>
  </si>
  <si>
    <t>CMR170100740</t>
  </si>
  <si>
    <t>CMR170100152</t>
  </si>
  <si>
    <t>CMR170101531</t>
  </si>
  <si>
    <t>CMR170100320</t>
  </si>
  <si>
    <t>CMR170100147</t>
  </si>
  <si>
    <t>CMR170100141</t>
  </si>
  <si>
    <t>CMR170100140</t>
  </si>
  <si>
    <t>CMR170100726</t>
  </si>
  <si>
    <t>CMR170100753</t>
  </si>
  <si>
    <t>CMR170100720</t>
  </si>
  <si>
    <t>CMR170100710</t>
  </si>
  <si>
    <t>CMR170101453</t>
  </si>
  <si>
    <t>CMR170100703</t>
  </si>
  <si>
    <t>CMR170101762</t>
  </si>
  <si>
    <t>CMR170100142</t>
  </si>
  <si>
    <t>CMR170100783</t>
  </si>
  <si>
    <t>CMR170099254</t>
  </si>
  <si>
    <t>CMR170100146</t>
  </si>
  <si>
    <t>CMR170099253</t>
  </si>
  <si>
    <t>CMR170100139</t>
  </si>
  <si>
    <t>CMR170100769</t>
  </si>
  <si>
    <t>CMR170100143</t>
  </si>
  <si>
    <t>CMR170102201</t>
  </si>
  <si>
    <t>CMR170102218</t>
  </si>
  <si>
    <t>CMR170102223</t>
  </si>
  <si>
    <t>CMR170102194</t>
  </si>
  <si>
    <t>CMR170103039</t>
  </si>
  <si>
    <t>CMR170103047</t>
  </si>
  <si>
    <t>CMR170102767</t>
  </si>
  <si>
    <t>CMR170101006</t>
  </si>
  <si>
    <t>CMR170104150</t>
  </si>
  <si>
    <t>CMR170102983</t>
  </si>
  <si>
    <t>CMR170102986</t>
  </si>
  <si>
    <t>CMR170105062</t>
  </si>
  <si>
    <t>შპს "მანი"</t>
  </si>
  <si>
    <t>შპს "წყალტუბო პლაზა"</t>
  </si>
  <si>
    <t>შპს "ITL Leisure Tourism and Travel Company"</t>
  </si>
  <si>
    <t>პრეზენტაციის ორგანიზება არაბთა გაერთიანებუულ საემიროებში</t>
  </si>
  <si>
    <t>ი.მ. ნიკოლოზ ბუცხრიკიძე</t>
  </si>
  <si>
    <t>ი.მ. აბესალომ კვირკველია</t>
  </si>
  <si>
    <t>შპს "დადვანი ჯგუფი"</t>
  </si>
  <si>
    <t>სს "კოკა-კოლა ბოთლერს ჯორჯია"</t>
  </si>
  <si>
    <t>შპს "პოლიფონია"</t>
  </si>
  <si>
    <t>შპს "ალმა"</t>
  </si>
  <si>
    <t>გარე რეკლამა აეროპორტებში</t>
  </si>
  <si>
    <t>შპს "ლისი რესტ"</t>
  </si>
  <si>
    <t>ი.მ. ეთი კრიხელი - ნიუ ჯორჯია"</t>
  </si>
  <si>
    <t>ი.მ. ნარინე ბაროიანი</t>
  </si>
  <si>
    <t>შპს "კინგ დავიდ"</t>
  </si>
  <si>
    <t>პრეზენტაციის ორგანიზება ბაჰრეინში</t>
  </si>
  <si>
    <t>შპს "აკა გრუპი+"</t>
  </si>
  <si>
    <t>სს "ბორჯომი ლიკანი ინთერნეიშენალი"</t>
  </si>
  <si>
    <t>შპს "კახელები"</t>
  </si>
  <si>
    <t>შპს "ნიუ სერვის გრუპ"</t>
  </si>
  <si>
    <t>შპს "გოგებაშვილის 30"</t>
  </si>
  <si>
    <t>ფ.პ. სალომე გიგაური</t>
  </si>
  <si>
    <t>შპს "კულინატი"</t>
  </si>
  <si>
    <t>რეკლამა ჟურნალში georgia to see</t>
  </si>
  <si>
    <t>შპს "მეტრო სქაი თაუერი"</t>
  </si>
  <si>
    <t>შპს "ჯორჯიან ივენთსი"</t>
  </si>
  <si>
    <t>დიპლომატიური ტურის ღონისძიების ორგანიზება</t>
  </si>
  <si>
    <t>26 მაისის ღონისძიების ორგანიზება</t>
  </si>
  <si>
    <t>ფორბსი</t>
  </si>
  <si>
    <t>ნებართვა</t>
  </si>
  <si>
    <t>შპს "ვიაიპი თრეველი"</t>
  </si>
  <si>
    <t>შპს "გეგაპიქსელი"</t>
  </si>
  <si>
    <t>ტელევიზორების შესყიდვა</t>
  </si>
  <si>
    <t>ამხანაგობა "კულინარიუმ ქუქინგ სქულ"</t>
  </si>
  <si>
    <t>584/1</t>
  </si>
  <si>
    <t>შპს "ეკა"</t>
  </si>
  <si>
    <t>შპს "როიალ დრიმს"</t>
  </si>
  <si>
    <t>სვანეთის ღონისძიება</t>
  </si>
  <si>
    <t>ააიპ "სათავგადასავლო ტურიზმის განვითარების ასოციაცია"</t>
  </si>
  <si>
    <t>რაჭა-ლეჩხუმის და ქვემო სვანეთის სალაშქრო-საფეხმავლო ბილიკების მონიშვნისა და ინფრასტრუქტურის მოწყობის სამუშაოები</t>
  </si>
  <si>
    <t>შპს "სათავგადასავლო კლუბი ჯომარდი"</t>
  </si>
  <si>
    <t>ვარძიაში სპორტული ღონისძიების ორგანიზება</t>
  </si>
  <si>
    <t>სს "კოკა კოლა ბოთლერს ჯორჯია"</t>
  </si>
  <si>
    <t>შპს "სამება"</t>
  </si>
  <si>
    <t>შპს "ლეღვი"</t>
  </si>
  <si>
    <t>შპს "შალოშვილის მარანი"</t>
  </si>
  <si>
    <t>შპს "სასტუმრო ყაზბეგი"</t>
  </si>
  <si>
    <t>შპს "nat geo"</t>
  </si>
  <si>
    <t>შპს "უოლქერს"</t>
  </si>
  <si>
    <t>ღონისძიების ორგანიზება</t>
  </si>
  <si>
    <t>ი.მ. თენგიზ თაბუნიძე</t>
  </si>
  <si>
    <t>სს"ბორჯომი ლიკანი ინთერნეიშენალი"</t>
  </si>
  <si>
    <t>შპს "მარტვილი პალასი"</t>
  </si>
  <si>
    <t>სს "hualing international special economic zone"</t>
  </si>
  <si>
    <t>12.05.2017</t>
  </si>
  <si>
    <t>17.05.2017</t>
  </si>
  <si>
    <t>CMR170101475</t>
  </si>
  <si>
    <t>CMR170101801</t>
  </si>
  <si>
    <t>CMR170103604</t>
  </si>
  <si>
    <t>CMR170105175</t>
  </si>
  <si>
    <t>CMR170105181</t>
  </si>
  <si>
    <t>CMR170105183</t>
  </si>
  <si>
    <t>CMR170105185</t>
  </si>
  <si>
    <t>CMR170105189</t>
  </si>
  <si>
    <t>CMR170105190</t>
  </si>
  <si>
    <t>CMR170105192</t>
  </si>
  <si>
    <t>CMR170102698</t>
  </si>
  <si>
    <t>CMR170104818</t>
  </si>
  <si>
    <t>CMR170104302</t>
  </si>
  <si>
    <t>CMR170104315</t>
  </si>
  <si>
    <t>CMR170105054</t>
  </si>
  <si>
    <t>CMR170104876</t>
  </si>
  <si>
    <t>18.05.2017</t>
  </si>
  <si>
    <t>საქართველოს კანონის სახელმწიფო შესყიდვების შესახებ, მე-10/1 მუხლის 3  პუნქტის "ა" ქვეპუნქტისა და სახელმწიფო შესყიდვების სააგენტოს თავმჯდომარის  2017 წლის 5 მაისის   #1381 განკარგულების საფუძველზე</t>
  </si>
  <si>
    <t>CMR170102780</t>
  </si>
  <si>
    <t>CMR170105056</t>
  </si>
  <si>
    <t>CMR170105080</t>
  </si>
  <si>
    <t>CMR170105042</t>
  </si>
  <si>
    <t>CMR170105033</t>
  </si>
  <si>
    <t>19.05.2017</t>
  </si>
  <si>
    <t>CMR170102231</t>
  </si>
  <si>
    <t>CMR170104593</t>
  </si>
  <si>
    <t>CMR170105576</t>
  </si>
  <si>
    <t>CMR170105686</t>
  </si>
  <si>
    <t>CMR170106098</t>
  </si>
  <si>
    <t>CMR170105591</t>
  </si>
  <si>
    <t>CMR170105696</t>
  </si>
  <si>
    <t>CMR170105706</t>
  </si>
  <si>
    <t>CMR170102135</t>
  </si>
  <si>
    <t>CMR170104895</t>
  </si>
  <si>
    <t>CMR170105541</t>
  </si>
  <si>
    <t>CMR170105620</t>
  </si>
  <si>
    <t>CMR170103255</t>
  </si>
  <si>
    <t>CMR170105495</t>
  </si>
  <si>
    <t>CMR170103022</t>
  </si>
  <si>
    <t>CMR170102993</t>
  </si>
  <si>
    <t>CMR170105194</t>
  </si>
  <si>
    <t>CMR170106188</t>
  </si>
  <si>
    <t>CMR170104543</t>
  </si>
  <si>
    <t>CMR170102997</t>
  </si>
  <si>
    <t>CMR170105770</t>
  </si>
  <si>
    <t>CMR170104215</t>
  </si>
  <si>
    <t>CMR170104209</t>
  </si>
  <si>
    <t>CMR170104180</t>
  </si>
  <si>
    <t>CMR170105072</t>
  </si>
  <si>
    <t>CMR170105068</t>
  </si>
  <si>
    <t>22.05.2017</t>
  </si>
  <si>
    <t>CMR170104105</t>
  </si>
  <si>
    <t>79900000</t>
  </si>
  <si>
    <t>CMR170105713</t>
  </si>
  <si>
    <t>23.05.2017</t>
  </si>
  <si>
    <t>50100000</t>
  </si>
  <si>
    <t>SPA170005905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</si>
  <si>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2017 წლის 18 მაისის  #966 განკარგულების საფუძველზე (SMP1700001233)</t>
  </si>
  <si>
    <t>CMR170105723</t>
  </si>
  <si>
    <t>24.05.2017</t>
  </si>
  <si>
    <t>CMR170105853</t>
  </si>
  <si>
    <t>CMR170105846</t>
  </si>
  <si>
    <t>CMR170106888</t>
  </si>
  <si>
    <t>CMR170108369</t>
  </si>
  <si>
    <t>32300000</t>
  </si>
  <si>
    <t>CMR170107771</t>
  </si>
  <si>
    <t>25.05.2017</t>
  </si>
  <si>
    <t>CMR170107302</t>
  </si>
  <si>
    <t>CMR170108897</t>
  </si>
  <si>
    <t>CMR170108635</t>
  </si>
  <si>
    <t>29.05.2017</t>
  </si>
  <si>
    <t>CMR170106843</t>
  </si>
  <si>
    <t>SPA170005826</t>
  </si>
  <si>
    <t>39200000</t>
  </si>
  <si>
    <t>SPA170005671</t>
  </si>
  <si>
    <t>30.05.2017</t>
  </si>
  <si>
    <t>92600000</t>
  </si>
  <si>
    <t>SPA170006681</t>
  </si>
  <si>
    <t>CMR170108671</t>
  </si>
  <si>
    <t>CMR170108708</t>
  </si>
  <si>
    <t>31.05.2017</t>
  </si>
  <si>
    <t>CMR170109227</t>
  </si>
  <si>
    <t>01.06.2017</t>
  </si>
  <si>
    <t>SPA170005830</t>
  </si>
  <si>
    <t>02.06.2017</t>
  </si>
  <si>
    <t>1`562.50</t>
  </si>
  <si>
    <t>2`190.00</t>
  </si>
  <si>
    <t>1`420.00</t>
  </si>
  <si>
    <t>200.00 </t>
  </si>
  <si>
    <t>600.00 </t>
  </si>
  <si>
    <t>51.50 </t>
  </si>
  <si>
    <t>1`850.00</t>
  </si>
  <si>
    <t>1`040.00</t>
  </si>
  <si>
    <t>Trinity Mirror plc</t>
  </si>
  <si>
    <t>CMR170097569</t>
  </si>
  <si>
    <t>1`700.00</t>
  </si>
  <si>
    <t>6`687.00 </t>
  </si>
  <si>
    <t>1`325.30</t>
  </si>
  <si>
    <t>2`385.00</t>
  </si>
  <si>
    <t>31`253.20</t>
  </si>
  <si>
    <t>6`511.00</t>
  </si>
  <si>
    <t>3`117.30</t>
  </si>
  <si>
    <t>7`353.40</t>
  </si>
  <si>
    <t>1`000.00 </t>
  </si>
  <si>
    <t>550.00 </t>
  </si>
  <si>
    <t>1`050.00 </t>
  </si>
  <si>
    <t>3`196.00 </t>
  </si>
  <si>
    <t>1`834.60 </t>
  </si>
  <si>
    <t>3`765.00 </t>
  </si>
  <si>
    <t>9`506.00</t>
  </si>
  <si>
    <t>370.00 </t>
  </si>
  <si>
    <t>1`256.88</t>
  </si>
  <si>
    <t>1`244.10</t>
  </si>
  <si>
    <t>1`859.00</t>
  </si>
  <si>
    <t>14`886.40 </t>
  </si>
  <si>
    <t>11`270.00 </t>
  </si>
  <si>
    <t>19`354.50</t>
  </si>
  <si>
    <t>5`811.26</t>
  </si>
  <si>
    <t>549.00 </t>
  </si>
  <si>
    <t>347.05 </t>
  </si>
  <si>
    <t>730.86 </t>
  </si>
  <si>
    <t>30`396.90 </t>
  </si>
  <si>
    <t xml:space="preserve">30`396.90 </t>
  </si>
  <si>
    <t>546.15 </t>
  </si>
  <si>
    <t>4`129.02</t>
  </si>
  <si>
    <t>1`875.00 </t>
  </si>
  <si>
    <t>2`320.00</t>
  </si>
  <si>
    <t>260.15 </t>
  </si>
  <si>
    <t>159`550.89</t>
  </si>
  <si>
    <t>2`970.00</t>
  </si>
  <si>
    <t>1`681.25</t>
  </si>
  <si>
    <t xml:space="preserve">
შპს Caucasus Journey - Traveler’s Club</t>
  </si>
  <si>
    <t>8`629.10</t>
  </si>
  <si>
    <t>2`902.00</t>
  </si>
  <si>
    <t>7`720.00</t>
  </si>
  <si>
    <t>9`335.30 </t>
  </si>
  <si>
    <t>2`011.00</t>
  </si>
  <si>
    <t>382.50 </t>
  </si>
  <si>
    <t>1`268.80 </t>
  </si>
  <si>
    <t>694.10 </t>
  </si>
  <si>
    <t>1`595.83 </t>
  </si>
  <si>
    <t>55`242.39</t>
  </si>
  <si>
    <t>1`329.24 </t>
  </si>
  <si>
    <t>307.24 </t>
  </si>
  <si>
    <t>2`039.57</t>
  </si>
  <si>
    <t>12`619.75</t>
  </si>
  <si>
    <t>20`247.73</t>
  </si>
  <si>
    <t>1`782.50 </t>
  </si>
  <si>
    <t>625.00 </t>
  </si>
  <si>
    <t>4`956.42 </t>
  </si>
  <si>
    <t>10.00 </t>
  </si>
  <si>
    <t>59.00 </t>
  </si>
  <si>
    <t>637.20 </t>
  </si>
  <si>
    <t>131.80 </t>
  </si>
  <si>
    <t>2`558.88</t>
  </si>
  <si>
    <t>48`940.77</t>
  </si>
  <si>
    <t>3`306.00 </t>
  </si>
  <si>
    <t>281.25 </t>
  </si>
  <si>
    <t>245.57 </t>
  </si>
  <si>
    <t>4`800.00</t>
  </si>
  <si>
    <t>2`987.50</t>
  </si>
  <si>
    <t>8`415.00</t>
  </si>
  <si>
    <t>3`038.20 </t>
  </si>
  <si>
    <t>6`240.00 </t>
  </si>
  <si>
    <t>5`005.00</t>
  </si>
  <si>
    <t>182.00 </t>
  </si>
  <si>
    <t>8`100.00</t>
  </si>
  <si>
    <t>18`609.90</t>
  </si>
  <si>
    <t>2`660.00</t>
  </si>
  <si>
    <t>4`480.00</t>
  </si>
  <si>
    <t>4`320.00</t>
  </si>
  <si>
    <t>317.00 </t>
  </si>
  <si>
    <t>7`550.00</t>
  </si>
  <si>
    <t>3`950.00 </t>
  </si>
  <si>
    <t>2`400.00</t>
  </si>
  <si>
    <t>1`440.64</t>
  </si>
  <si>
    <t>180.08 </t>
  </si>
  <si>
    <t>660.00 </t>
  </si>
  <si>
    <t>5`037.78</t>
  </si>
  <si>
    <t>479.10 </t>
  </si>
  <si>
    <t>398.75 </t>
  </si>
  <si>
    <t>6`250.56</t>
  </si>
  <si>
    <t>43`123.10</t>
  </si>
  <si>
    <t>1`735.00</t>
  </si>
  <si>
    <t>100.05 </t>
  </si>
  <si>
    <t>54.02 </t>
  </si>
  <si>
    <t>68.00 </t>
  </si>
  <si>
    <t>3`270.00</t>
  </si>
  <si>
    <t>23`529.49 </t>
  </si>
  <si>
    <t>შპს 
"Movenpick Hotel Bahrain</t>
  </si>
  <si>
    <t>7`144.89</t>
  </si>
  <si>
    <t>6`700.00 </t>
  </si>
  <si>
    <t>1`825.00</t>
  </si>
  <si>
    <t>97`881.00 </t>
  </si>
  <si>
    <t>2`780.00</t>
  </si>
  <si>
    <t>399.30 </t>
  </si>
  <si>
    <t>CMR170111252</t>
  </si>
  <si>
    <t>CMR170109957</t>
  </si>
  <si>
    <t>3`003.50</t>
  </si>
  <si>
    <t>CMR170109652</t>
  </si>
  <si>
    <t>4`539.30</t>
  </si>
  <si>
    <t>31`622.40</t>
  </si>
  <si>
    <t>შპს "სოლო პალას"</t>
  </si>
  <si>
    <t>20`186.22</t>
  </si>
  <si>
    <t>76.00 </t>
  </si>
  <si>
    <t>4`869.86</t>
  </si>
  <si>
    <t>9`075.01 </t>
  </si>
  <si>
    <t>2`735.80</t>
  </si>
  <si>
    <t>900.00 </t>
  </si>
  <si>
    <t>701.80 </t>
  </si>
  <si>
    <t>2`664.50 </t>
  </si>
  <si>
    <t>1`204.40</t>
  </si>
  <si>
    <t>CMR170113353</t>
  </si>
  <si>
    <t>11`585.40</t>
  </si>
  <si>
    <t>CMR170111029</t>
  </si>
  <si>
    <t>5`162.50 </t>
  </si>
  <si>
    <t>5`950.00 </t>
  </si>
  <si>
    <t>1`542.66</t>
  </si>
  <si>
    <t>CMR170112186</t>
  </si>
  <si>
    <t>შპს "სი თი აუტო"</t>
  </si>
  <si>
    <t>ტელერადიო სიგნალის მიმღები</t>
  </si>
  <si>
    <t>ფოტოკამერის მეხსიერების ბარათი</t>
  </si>
  <si>
    <t>შპს "სეზანი"</t>
  </si>
  <si>
    <t>კატალოგის ბეჭდვა</t>
  </si>
  <si>
    <t>ფ.პ. ნოდარი ხუციშვილი</t>
  </si>
  <si>
    <t>შპს "სერვისეირი-ServiseAir"</t>
  </si>
  <si>
    <t>შპს "ოლდ სეტი"</t>
  </si>
  <si>
    <t>ფ.პ. სალომე მელითაური</t>
  </si>
  <si>
    <t>შპს "ქარვის ბარი"</t>
  </si>
  <si>
    <t>შპს "Argo investment"</t>
  </si>
  <si>
    <t>შპს "ვილლა იყალთო ჰო-რე-კა"</t>
  </si>
  <si>
    <t>შპს "ელექსირი"</t>
  </si>
  <si>
    <t>შპს "საგვვარეულო მარანი"</t>
  </si>
  <si>
    <t>შპს "ბაგრატი 1003"</t>
  </si>
  <si>
    <t>ააიპ "ალავერდის განვითარების ფონდი ტალავერი"</t>
  </si>
  <si>
    <t>შპს "ელგი"</t>
  </si>
  <si>
    <t>შპს "ემ.აი.სი"</t>
  </si>
  <si>
    <t>სარეკლამო კამპანია - ჟურნალში where</t>
  </si>
  <si>
    <t>შპს "ვანილა სქაი ჯორჯია"</t>
  </si>
  <si>
    <t>შპს "PARS international corp"</t>
  </si>
  <si>
    <t>ნიუ იორკ თაიმსის ნებართვა</t>
  </si>
  <si>
    <t>გარე სარეკლამო კამპანია</t>
  </si>
  <si>
    <t>შპს "თეგი"</t>
  </si>
  <si>
    <t>შემომყვანი ტურიზმის კატალოგი</t>
  </si>
  <si>
    <t>ფ.პ. დავით სუჯაშვილი</t>
  </si>
  <si>
    <t>შპს "ანდამატი"</t>
  </si>
  <si>
    <t>შპს"მარულა+"</t>
  </si>
  <si>
    <t>ი.მ. არჩილ ზაქარიაძე</t>
  </si>
  <si>
    <t>ფ.პ. ჯულიეტა ავსაჯანიშვილი</t>
  </si>
  <si>
    <t>LLC "Guardian"</t>
  </si>
  <si>
    <t>ამხანაგობა "ორციხე"</t>
  </si>
  <si>
    <t>ი.მ. ზურაბ ძნელაძე</t>
  </si>
  <si>
    <t>ი.მ. სოფიო გორგაძე</t>
  </si>
  <si>
    <t>შპს "სამციხე"</t>
  </si>
  <si>
    <t>შპს "დელტა დეველოპმენტ გრუპი"</t>
  </si>
  <si>
    <t>თარგმნის მომსახურება</t>
  </si>
  <si>
    <t>ი.მ. აკაკი ხაჩიძე</t>
  </si>
  <si>
    <t>შპს "კურორტი საირმე"</t>
  </si>
  <si>
    <t>შპს "ფროფერთი მენეჯმენტი"</t>
  </si>
  <si>
    <t>ინტერნეტ მომსახურების შესყიდვა</t>
  </si>
  <si>
    <t>შპს "ათ"</t>
  </si>
  <si>
    <t>ი.მ. მაია აიწურაძე</t>
  </si>
  <si>
    <t>ი.მ. კუზმა ოსლოპოვ</t>
  </si>
  <si>
    <t>შპს "გუდ თრეველი"</t>
  </si>
  <si>
    <t>ი.მ. იაკობი ჩიხლაძე</t>
  </si>
  <si>
    <t>შპა "საგვარეულო მარანი"</t>
  </si>
  <si>
    <t>შპს "სანი ტური"</t>
  </si>
  <si>
    <t>შპს "გაზეთი ჯორჯია თუდეი"</t>
  </si>
  <si>
    <t>შპს "თეგეტამოტორსი"</t>
  </si>
  <si>
    <t>შპს "ლერმონტ"</t>
  </si>
  <si>
    <t>სს "ნუროლ ინშაათ ვე თიჯარეთი"</t>
  </si>
  <si>
    <t>შპს "ვილა რეტა"</t>
  </si>
  <si>
    <t>სს "ფუდმარტი"</t>
  </si>
  <si>
    <t>სხვადასხვა საკვები პროდუქტის შესყიდვა</t>
  </si>
  <si>
    <t>შპს "გეორგინა"</t>
  </si>
  <si>
    <t>საკეტების შესყიდვა</t>
  </si>
  <si>
    <t>შპს "სავაჭრო ჯგუფი"</t>
  </si>
  <si>
    <t>გასაბერი თაღის შესყიდვა</t>
  </si>
  <si>
    <t>ფ.პ. ლილი წულაძე</t>
  </si>
  <si>
    <t>ევროვიზიის ფარგლებში პრესასთან ურთიერთობის საკონსულტაციო მომსახურება</t>
  </si>
  <si>
    <t>შპს "რემონტალი"</t>
  </si>
  <si>
    <t>ლაითბოქსები</t>
  </si>
  <si>
    <t>შპს "ჯითი ჰოლდინგი"</t>
  </si>
  <si>
    <t>დაბა ბაკურიანში სპორტული ღონისძიება</t>
  </si>
  <si>
    <t>გუდაურში სპორტული ღონისძიება</t>
  </si>
  <si>
    <t>ი.მ. დავით იდოიძე</t>
  </si>
  <si>
    <t>შპს "სასტუმრო სნო"</t>
  </si>
  <si>
    <t>შპს "ჰბ ფასანაური"</t>
  </si>
  <si>
    <t>შპს "ბეთსი"</t>
  </si>
  <si>
    <t>ფ.პ. გიორგი კუხიანიძე</t>
  </si>
  <si>
    <t>კომპოზიტორის მომსახურება</t>
  </si>
  <si>
    <t>ფ.პ. რუსუდან ყიფიანი</t>
  </si>
  <si>
    <t>მარკეტინგული მომსახურება სარეკლამო კამპანიის ფარგლებში</t>
  </si>
  <si>
    <t>შპს "ბეტსი"</t>
  </si>
  <si>
    <t>შპს "სმარტ რუსთაველი"</t>
  </si>
  <si>
    <t>გაზირებული მინერალური წყლის შესყიდვა</t>
  </si>
  <si>
    <t>შპს "სოფტმასტერ სერვისი"</t>
  </si>
  <si>
    <t>ბილბორდების შეკეთება და ტექნიკური მომსახურება</t>
  </si>
  <si>
    <t>შპს "Milky way"</t>
  </si>
  <si>
    <t>ვიდეო ბარათების დამზადება</t>
  </si>
  <si>
    <t>სამეგრელო-ზემო სვანეთის ბილიკების მონიშვნა</t>
  </si>
  <si>
    <t>შპს "ბრენდ მაღაზია სარაჯიშვილი"</t>
  </si>
  <si>
    <t>კონიაკის შესყიდვა</t>
  </si>
  <si>
    <t>ამხანაგობა "თუშური ფარდაგი"</t>
  </si>
  <si>
    <t>შპს "თუშეთი 2009"</t>
  </si>
  <si>
    <t>შპს "ტერმინალ ვესტ თრეიდინგი"</t>
  </si>
  <si>
    <t>დამაგრძელებლის შესყიდვა</t>
  </si>
  <si>
    <t>შპს "ედვაიზ ჯგუფი"</t>
  </si>
  <si>
    <t>ბეჭდვის მომსახურება</t>
  </si>
  <si>
    <t>შპს "სითიაუტო"</t>
  </si>
  <si>
    <t>ფ.პ. ანა უთურგაული</t>
  </si>
  <si>
    <t>Brand Bridge s.r.o.</t>
  </si>
  <si>
    <t>06.06.2017</t>
  </si>
  <si>
    <t>CMR170113561</t>
  </si>
  <si>
    <t>CMR170115640</t>
  </si>
  <si>
    <t>CMR170116574</t>
  </si>
  <si>
    <t>07.06.2017</t>
  </si>
  <si>
    <t>CMR170114194</t>
  </si>
  <si>
    <t>CMR170113671</t>
  </si>
  <si>
    <t>30200000</t>
  </si>
  <si>
    <t>CMR170113681</t>
  </si>
  <si>
    <t>CMR170113852</t>
  </si>
  <si>
    <t>CMR170116604</t>
  </si>
  <si>
    <t>08.06.2017</t>
  </si>
  <si>
    <t>CMR170116692</t>
  </si>
  <si>
    <t>CMR170113569</t>
  </si>
  <si>
    <t>CMR170113582</t>
  </si>
  <si>
    <t>CMR170113586</t>
  </si>
  <si>
    <t>CMR170113591</t>
  </si>
  <si>
    <t>CMR170113599</t>
  </si>
  <si>
    <t>CMR170113640</t>
  </si>
  <si>
    <t>09.06.2017</t>
  </si>
  <si>
    <t>CMR170114185</t>
  </si>
  <si>
    <t>CMR170114178</t>
  </si>
  <si>
    <t>CMR170114520</t>
  </si>
  <si>
    <t>CMR170117202</t>
  </si>
  <si>
    <t>CMR170117396</t>
  </si>
  <si>
    <t>12.06.2017</t>
  </si>
  <si>
    <t>CMR170119178</t>
  </si>
  <si>
    <t>14.06.2017</t>
  </si>
  <si>
    <t>CMR170119971</t>
  </si>
  <si>
    <t>CMR170117879</t>
  </si>
  <si>
    <t>CMR170119987</t>
  </si>
  <si>
    <t>CMR170120032</t>
  </si>
  <si>
    <t>CMR170120019</t>
  </si>
  <si>
    <t>CMR170120005</t>
  </si>
  <si>
    <t>CMR170120026</t>
  </si>
  <si>
    <t>CMR170119990</t>
  </si>
  <si>
    <t>CMR170118126</t>
  </si>
  <si>
    <t>CMR170117028</t>
  </si>
  <si>
    <t>CMR170120252</t>
  </si>
  <si>
    <t>CMR170120263</t>
  </si>
  <si>
    <t>15.06.2017</t>
  </si>
  <si>
    <t>CMR170118242</t>
  </si>
  <si>
    <t>CMR170118253</t>
  </si>
  <si>
    <t>CMR170118279</t>
  </si>
  <si>
    <t>CMR170119979</t>
  </si>
  <si>
    <t>CMR170120015</t>
  </si>
  <si>
    <t>16.06.2017</t>
  </si>
  <si>
    <t>CMR170120910</t>
  </si>
  <si>
    <t>CMR170120916</t>
  </si>
  <si>
    <t>CMR170120929</t>
  </si>
  <si>
    <t>CMR170119533</t>
  </si>
  <si>
    <t>CMR170116693</t>
  </si>
  <si>
    <t>CMR170121080</t>
  </si>
  <si>
    <t>CMR170121072</t>
  </si>
  <si>
    <t>CMR170120717</t>
  </si>
  <si>
    <t>19.06.2017</t>
  </si>
  <si>
    <t>CMR170121590</t>
  </si>
  <si>
    <t>საქართველოს კანონის სახელმწიფო შესყიდვების შესახებ, მე-10/1 მუხლის 3  პუნქტის "ა" ქვეპუნქტისა და სახელმწიფო შესყიდვების სააგენტოს თავმჯდომარის  2017 წლის 30 მაისის   #1576 განკარგულების საფუძველზე</t>
  </si>
  <si>
    <t>CMR170119830</t>
  </si>
  <si>
    <t>CMR170121763</t>
  </si>
  <si>
    <t>21.06.2017</t>
  </si>
  <si>
    <t>SPA170007190</t>
  </si>
  <si>
    <t>22.06.2017</t>
  </si>
  <si>
    <t>CMR170123143</t>
  </si>
  <si>
    <t>CMR170123670</t>
  </si>
  <si>
    <t>23.06.2017</t>
  </si>
  <si>
    <t>CMR170121605</t>
  </si>
  <si>
    <t>CMR170121753</t>
  </si>
  <si>
    <t>CMR170121757</t>
  </si>
  <si>
    <t>CMR170121761</t>
  </si>
  <si>
    <t>CMR170121765</t>
  </si>
  <si>
    <t>CMR170124259</t>
  </si>
  <si>
    <t>CMR170124299</t>
  </si>
  <si>
    <t>CMR170124293</t>
  </si>
  <si>
    <t>CMR170124531</t>
  </si>
  <si>
    <t>CMR170123687</t>
  </si>
  <si>
    <t>26.06.2017</t>
  </si>
  <si>
    <t>CMR170123755</t>
  </si>
  <si>
    <t>CMR170122810</t>
  </si>
  <si>
    <t>CMR170124417</t>
  </si>
  <si>
    <t>CMR170125762</t>
  </si>
  <si>
    <t>CMR170122793</t>
  </si>
  <si>
    <t>CMR170125166</t>
  </si>
  <si>
    <t>CMR170125168</t>
  </si>
  <si>
    <t>CMR170123697</t>
  </si>
  <si>
    <t>27.06.2017</t>
  </si>
  <si>
    <t>CMR170124268</t>
  </si>
  <si>
    <t>CMR170124214</t>
  </si>
  <si>
    <t>28.06.2017</t>
  </si>
  <si>
    <t>CMR170123690</t>
  </si>
  <si>
    <t>CMR170125770</t>
  </si>
  <si>
    <t>CMR170125774</t>
  </si>
  <si>
    <t>29.06.2017</t>
  </si>
  <si>
    <t>CMR170126289</t>
  </si>
  <si>
    <t>CMR170126302</t>
  </si>
  <si>
    <t>CMR170126307</t>
  </si>
  <si>
    <t>CMR170126282</t>
  </si>
  <si>
    <t>CMR170124924</t>
  </si>
  <si>
    <t>30.06.2017</t>
  </si>
  <si>
    <t>CMR170125100</t>
  </si>
  <si>
    <t>CMR170127736</t>
  </si>
  <si>
    <t>CMR170127758</t>
  </si>
  <si>
    <t>CMR170127771</t>
  </si>
  <si>
    <t>CMR170127741</t>
  </si>
  <si>
    <t>CMR170127827</t>
  </si>
  <si>
    <t>CMR170127099</t>
  </si>
  <si>
    <t>CMR170126394</t>
  </si>
  <si>
    <t>CMR170126397</t>
  </si>
  <si>
    <t>03.07.2017</t>
  </si>
  <si>
    <t>CMR170129194</t>
  </si>
  <si>
    <t>CMR170126399</t>
  </si>
  <si>
    <t>04.07.2017</t>
  </si>
  <si>
    <t>CMR170129008</t>
  </si>
  <si>
    <t>07.07.2017</t>
  </si>
  <si>
    <t>CMR170129742</t>
  </si>
  <si>
    <t>CMR170129745</t>
  </si>
  <si>
    <t>CMR170129791</t>
  </si>
  <si>
    <t>CMR170129735</t>
  </si>
  <si>
    <t>CMR170127721</t>
  </si>
  <si>
    <t>CMR170127706</t>
  </si>
  <si>
    <t>CMR170127679</t>
  </si>
  <si>
    <t>CMR170128490</t>
  </si>
  <si>
    <t>CMR170128579</t>
  </si>
  <si>
    <t>12.07.2017</t>
  </si>
  <si>
    <t>CMR170132363</t>
  </si>
  <si>
    <t>CMR170132368</t>
  </si>
  <si>
    <t>CMR170132372</t>
  </si>
  <si>
    <t>CMR170132386</t>
  </si>
  <si>
    <t>CMR170132391</t>
  </si>
  <si>
    <t>CMR170132389</t>
  </si>
  <si>
    <t>CMR170132384</t>
  </si>
  <si>
    <t>CMR170133670</t>
  </si>
  <si>
    <t>CMR170131154</t>
  </si>
  <si>
    <t>13.07.2017</t>
  </si>
  <si>
    <t>CMR170131972</t>
  </si>
  <si>
    <t>CMR170132088</t>
  </si>
  <si>
    <t>CMR170132043</t>
  </si>
  <si>
    <t>CMR170131981</t>
  </si>
  <si>
    <t>CMR170131983</t>
  </si>
  <si>
    <t>CMR170129790</t>
  </si>
  <si>
    <t>CMR170130444</t>
  </si>
  <si>
    <t>CMR170133684</t>
  </si>
  <si>
    <t>CMR170133680</t>
  </si>
  <si>
    <t>14.07.2017</t>
  </si>
  <si>
    <t>CMR170131956</t>
  </si>
  <si>
    <t>CMR170132320</t>
  </si>
  <si>
    <t>CMR170131935</t>
  </si>
  <si>
    <t>CMR170131922</t>
  </si>
  <si>
    <t>CMR170131951</t>
  </si>
  <si>
    <t>17.07.2017</t>
  </si>
  <si>
    <t>CMR170134569</t>
  </si>
  <si>
    <t>CMR170134141</t>
  </si>
  <si>
    <t>18.07.2017</t>
  </si>
  <si>
    <t>CMR170136242</t>
  </si>
  <si>
    <t>CMR170136244</t>
  </si>
  <si>
    <t>CMR170136250</t>
  </si>
  <si>
    <t>15800000</t>
  </si>
  <si>
    <t>CMR170136760</t>
  </si>
  <si>
    <t>44500000</t>
  </si>
  <si>
    <t>CMR170136820</t>
  </si>
  <si>
    <t>19.07.2017</t>
  </si>
  <si>
    <t>37400000</t>
  </si>
  <si>
    <t>SPA170008614</t>
  </si>
  <si>
    <t>CMR170136844</t>
  </si>
  <si>
    <t>CMR170133232</t>
  </si>
  <si>
    <t>79400000</t>
  </si>
  <si>
    <t>საქართველოს კანონის სახელმწიფო შესყიდვების შესახებ, მე-10/1 მუხლის 3  პუნქტის "დ" ქვეპუნქტისა და საქართველოს მთავრობის 2017 წლის 2 ივნისის  #1093 განკარგულების საფუძველზე (SMP170001338)</t>
  </si>
  <si>
    <t>CMR170134457</t>
  </si>
  <si>
    <t>20.07.2017</t>
  </si>
  <si>
    <t>SPA170008194</t>
  </si>
  <si>
    <t>SPA170009070</t>
  </si>
  <si>
    <t>SPA170009068</t>
  </si>
  <si>
    <t>CMR170136549</t>
  </si>
  <si>
    <t>21.07.2017</t>
  </si>
  <si>
    <t>CMR170140311</t>
  </si>
  <si>
    <t>CMR170137110</t>
  </si>
  <si>
    <t>CMR170137520</t>
  </si>
  <si>
    <t>CMR170137115</t>
  </si>
  <si>
    <t>CMR170140290</t>
  </si>
  <si>
    <t>CMR170137554</t>
  </si>
  <si>
    <t>CMR170137552</t>
  </si>
  <si>
    <t>24.07.2017</t>
  </si>
  <si>
    <t>CMR170137535</t>
  </si>
  <si>
    <t>CMR170137546</t>
  </si>
  <si>
    <t>CMR170139112</t>
  </si>
  <si>
    <t>27.07.2017</t>
  </si>
  <si>
    <t>92300000</t>
  </si>
  <si>
    <t>CMR170136774</t>
  </si>
  <si>
    <t>CMR170137032</t>
  </si>
  <si>
    <t>CMR170137700</t>
  </si>
  <si>
    <t>28.07.2017</t>
  </si>
  <si>
    <t>CMR170138124</t>
  </si>
  <si>
    <t>CMR170137155</t>
  </si>
  <si>
    <t>CMR170139620</t>
  </si>
  <si>
    <t>31.07.2017</t>
  </si>
  <si>
    <t>CMR170141099</t>
  </si>
  <si>
    <t>CMR170141102</t>
  </si>
  <si>
    <t>01.08.2017</t>
  </si>
  <si>
    <t>CMR170139362</t>
  </si>
  <si>
    <t>CMR170141284</t>
  </si>
  <si>
    <t>50800000</t>
  </si>
  <si>
    <t>SPA170009450</t>
  </si>
  <si>
    <t>92100000</t>
  </si>
  <si>
    <t>CMR170138657</t>
  </si>
  <si>
    <t>02.08.2017</t>
  </si>
  <si>
    <t>SPA170008136</t>
  </si>
  <si>
    <t>03.08.2017</t>
  </si>
  <si>
    <t>გ.შ,</t>
  </si>
  <si>
    <t>CMR170139187</t>
  </si>
  <si>
    <t>CMR170141605</t>
  </si>
  <si>
    <t>CMR170142122</t>
  </si>
  <si>
    <t>CMR170141598</t>
  </si>
  <si>
    <t>CMR170142152</t>
  </si>
  <si>
    <t>CMR170141613</t>
  </si>
  <si>
    <t>45400000</t>
  </si>
  <si>
    <t>CMR170142144</t>
  </si>
  <si>
    <t>04.08.2017</t>
  </si>
  <si>
    <t>31200000</t>
  </si>
  <si>
    <t>CMR170139649</t>
  </si>
  <si>
    <t>CMR170140262</t>
  </si>
  <si>
    <t>CMR170140255</t>
  </si>
  <si>
    <t>07.08.2017</t>
  </si>
  <si>
    <t>გ,შ.</t>
  </si>
  <si>
    <t>08.08.2017</t>
  </si>
  <si>
    <t>CMR170141543</t>
  </si>
  <si>
    <t>11.08.2017</t>
  </si>
  <si>
    <t>100.00 </t>
  </si>
  <si>
    <t>3`470.00</t>
  </si>
  <si>
    <t>4`530.00</t>
  </si>
  <si>
    <t>CMR170113293</t>
  </si>
  <si>
    <t>2`250.00 </t>
  </si>
  <si>
    <t>CMR170113287</t>
  </si>
  <si>
    <t>CMR170113311</t>
  </si>
  <si>
    <t>CMR170113745</t>
  </si>
  <si>
    <t>1`370.00</t>
  </si>
  <si>
    <t>2`731.23 </t>
  </si>
  <si>
    <t>CMR170110895</t>
  </si>
  <si>
    <t>CMR170113875</t>
  </si>
  <si>
    <t>387.20 </t>
  </si>
  <si>
    <t>375.00 </t>
  </si>
  <si>
    <t>1`530.00</t>
  </si>
  <si>
    <t>1`900.00 </t>
  </si>
  <si>
    <t>CMR170110031</t>
  </si>
  <si>
    <t>CMR170112094</t>
  </si>
  <si>
    <t>1`787.00</t>
  </si>
  <si>
    <t>CMR170110705</t>
  </si>
  <si>
    <t>10`384.00</t>
  </si>
  <si>
    <t>2`523.75 </t>
  </si>
  <si>
    <t>1`390.00 </t>
  </si>
  <si>
    <t>11`100.46</t>
  </si>
  <si>
    <t>187.50 </t>
  </si>
  <si>
    <t>1`181.40 </t>
  </si>
  <si>
    <t>279.00 </t>
  </si>
  <si>
    <t>7`469.10</t>
  </si>
  <si>
    <t>80.00 </t>
  </si>
  <si>
    <t>290.40 </t>
  </si>
  <si>
    <t>6`590.70 </t>
  </si>
  <si>
    <t>9`810.57</t>
  </si>
  <si>
    <t>520.00 </t>
  </si>
  <si>
    <t>602.00 </t>
  </si>
  <si>
    <t>4`750.00</t>
  </si>
  <si>
    <t>2`137.50</t>
  </si>
  <si>
    <t>1`152.00</t>
  </si>
  <si>
    <t>360.00 </t>
  </si>
  <si>
    <t>2`458.81 </t>
  </si>
  <si>
    <t>925.00 </t>
  </si>
  <si>
    <t>14`975.00</t>
  </si>
  <si>
    <t>7`139.00</t>
  </si>
  <si>
    <t>1`520.23</t>
  </si>
  <si>
    <t>35`858.27</t>
  </si>
  <si>
    <t>990.00 </t>
  </si>
  <si>
    <t>4`564.00</t>
  </si>
  <si>
    <t>18.50 </t>
  </si>
  <si>
    <t>8`800.00</t>
  </si>
  <si>
    <t>7`276.00 </t>
  </si>
  <si>
    <t>336.71 </t>
  </si>
  <si>
    <t>97.45 </t>
  </si>
  <si>
    <t>1`540.80 </t>
  </si>
  <si>
    <t xml:space="preserve">1`540.80 </t>
  </si>
  <si>
    <t>2`350.00</t>
  </si>
  <si>
    <t>4`050.00 </t>
  </si>
  <si>
    <t>1`116.55</t>
  </si>
  <si>
    <t>2`331.68</t>
  </si>
  <si>
    <t>2`082.50</t>
  </si>
  <si>
    <t>2`060.00</t>
  </si>
  <si>
    <t>700.00 </t>
  </si>
  <si>
    <t>76.45 </t>
  </si>
  <si>
    <t>61`242.00</t>
  </si>
  <si>
    <t>2`211.60</t>
  </si>
  <si>
    <t>6`825.00</t>
  </si>
  <si>
    <t>63`000.00</t>
  </si>
  <si>
    <t>3`562.50 </t>
  </si>
  <si>
    <t>3`937.50 </t>
  </si>
  <si>
    <t>2`243.75 </t>
  </si>
  <si>
    <t>2`550.00</t>
  </si>
  <si>
    <t>1`680.00 </t>
  </si>
  <si>
    <t>2`920.00</t>
  </si>
  <si>
    <t>1`800.00 </t>
  </si>
  <si>
    <t>1`562.50 </t>
  </si>
  <si>
    <t>71.00 </t>
  </si>
  <si>
    <t>12`280.00</t>
  </si>
  <si>
    <t>3`830.00 </t>
  </si>
  <si>
    <t>4`800.00 </t>
  </si>
  <si>
    <t>83.05 </t>
  </si>
  <si>
    <t>61.50 </t>
  </si>
  <si>
    <t>118.80 </t>
  </si>
  <si>
    <t>2`500.00</t>
  </si>
  <si>
    <t>1`698.00 </t>
  </si>
  <si>
    <t>4`369.47</t>
  </si>
  <si>
    <t>CMR170137097</t>
  </si>
  <si>
    <t>1`247.40 </t>
  </si>
  <si>
    <t>2`100.00</t>
  </si>
  <si>
    <t>205.85 </t>
  </si>
  <si>
    <t>4`115.00</t>
  </si>
  <si>
    <t>340.00 </t>
  </si>
  <si>
    <t>1`008.63</t>
  </si>
  <si>
    <t>690.00 </t>
  </si>
  <si>
    <t>3`600.00 </t>
  </si>
  <si>
    <t>2`587.00 </t>
  </si>
  <si>
    <t>1`855.70 </t>
  </si>
  <si>
    <t>100.80 </t>
  </si>
  <si>
    <t>273.69 </t>
  </si>
  <si>
    <t>7`600.00</t>
  </si>
  <si>
    <t>4`000.00 </t>
  </si>
  <si>
    <t>203.85 </t>
  </si>
  <si>
    <t>1`400.00 </t>
  </si>
  <si>
    <t>611.55 </t>
  </si>
  <si>
    <t>1`287.00</t>
  </si>
  <si>
    <t>152.00 </t>
  </si>
  <si>
    <t>2`583.00</t>
  </si>
  <si>
    <t>CMR170142555</t>
  </si>
  <si>
    <t>2`537.00</t>
  </si>
  <si>
    <t>138.60 </t>
  </si>
  <si>
    <t>3`324.00 </t>
  </si>
  <si>
    <t>მე-3 კლასის მაღალი გამავლობის მსუბუქი ავტომობილის ტექნიკური მომსახურება</t>
  </si>
  <si>
    <t>CMR160053737</t>
  </si>
  <si>
    <t>CMR170143436</t>
  </si>
  <si>
    <t>8`930.30</t>
  </si>
  <si>
    <t>CMR170144164</t>
  </si>
  <si>
    <t>CMR170144424</t>
  </si>
  <si>
    <t>CMR170144620</t>
  </si>
  <si>
    <t>CMR170143354</t>
  </si>
  <si>
    <t>შპს "ტურინვესტი"</t>
  </si>
  <si>
    <t>CMR170143200</t>
  </si>
  <si>
    <t>CMR170144519</t>
  </si>
  <si>
    <t>CMR170144528</t>
  </si>
  <si>
    <t>CMR170144465</t>
  </si>
  <si>
    <t>CMR170144459</t>
  </si>
  <si>
    <t>CMR170144439</t>
  </si>
  <si>
    <t>CMR170144476</t>
  </si>
  <si>
    <t>199.10 </t>
  </si>
  <si>
    <t>1`450.00</t>
  </si>
  <si>
    <t>1`535.70 </t>
  </si>
  <si>
    <t>2`317.50</t>
  </si>
  <si>
    <t>800.00 </t>
  </si>
  <si>
    <t>590.00 </t>
  </si>
  <si>
    <t>245.50 </t>
  </si>
  <si>
    <t>ი.მ. გიორგი ოდილავაძე</t>
  </si>
  <si>
    <t>შპს "ვანილა ივენთს"</t>
  </si>
  <si>
    <t>საერთო მენეჯმენტთან დაკავშირებული საკონსულტაციო მომსახურება</t>
  </si>
  <si>
    <t>შპს "პორტო ფრანკო"</t>
  </si>
  <si>
    <t>შპს "ბულვარის კარიბჭე"</t>
  </si>
  <si>
    <t>შპს "PIAZZA MANAGEMENT"</t>
  </si>
  <si>
    <t>შპს რეზონი</t>
  </si>
  <si>
    <t>შპს "ავაიაქსელი"</t>
  </si>
  <si>
    <t>შპს "მირაჟი"</t>
  </si>
  <si>
    <t>შპს ტოპ გრუპი</t>
  </si>
  <si>
    <t>ანტიფრიზი</t>
  </si>
  <si>
    <t>ევაკუატორის მომსახურება</t>
  </si>
  <si>
    <t>ავტომობილის ტექნიკური მომსახურება</t>
  </si>
  <si>
    <t>ამხანაგობა "საოჯახო სასტუმრო კორშა+"</t>
  </si>
  <si>
    <t>ი.მ. ნანა გოგოჭური</t>
  </si>
  <si>
    <t>ფ.პ. ცისმარი ქშუტაშვილი</t>
  </si>
  <si>
    <t>შპს "ბაბანეურის მარანი"</t>
  </si>
  <si>
    <t>შპს "ბულაჩაური"</t>
  </si>
  <si>
    <t>ი.მ. ელგუჯა გოდერძიშვილი</t>
  </si>
  <si>
    <t>შპს "სასტუმრო ივერია ინ"</t>
  </si>
  <si>
    <t xml:space="preserve">  სასტუმრო მომსახურება</t>
  </si>
  <si>
    <t>შპს "H&amp;N Wine Japan Co,. Ltd"</t>
  </si>
  <si>
    <t>ღვინის შესყიდვა</t>
  </si>
  <si>
    <t>შპს "ციტრუსი"</t>
  </si>
  <si>
    <t>შპს "ტენტ ლუქსი"</t>
  </si>
  <si>
    <t>გარე ბანერები და წარწერები</t>
  </si>
  <si>
    <t>JSTAR Management Solution Co., Ltd</t>
  </si>
  <si>
    <t>სტენდის მშენებლობა იაპონიის გამოფენაზე</t>
  </si>
  <si>
    <t>ი.მ. მაიკო ქავთარაძე</t>
  </si>
  <si>
    <t>განცხადების გამოქვეყნების საფასური</t>
  </si>
  <si>
    <t>ფოტოები</t>
  </si>
  <si>
    <t>14.08.2017</t>
  </si>
  <si>
    <t>CMR170146673</t>
  </si>
  <si>
    <t>CMR170146649</t>
  </si>
  <si>
    <t>CMR170145923</t>
  </si>
  <si>
    <t>CMR170145920</t>
  </si>
  <si>
    <t>CMR170146661</t>
  </si>
  <si>
    <t>15.08.2017</t>
  </si>
  <si>
    <t>CMR170146017</t>
  </si>
  <si>
    <t>CMR170143913</t>
  </si>
  <si>
    <t>16.08.2017</t>
  </si>
  <si>
    <t>CMR170145339</t>
  </si>
  <si>
    <t>17.08.2017</t>
  </si>
  <si>
    <t>CMR170147387</t>
  </si>
  <si>
    <t>18.08.2017</t>
  </si>
  <si>
    <t>CMR170147114</t>
  </si>
  <si>
    <t>CMR170147118</t>
  </si>
  <si>
    <t>CMR170146201</t>
  </si>
  <si>
    <t>CMR170147125</t>
  </si>
  <si>
    <t>CMR170147130</t>
  </si>
  <si>
    <t>CMR170147134</t>
  </si>
  <si>
    <t>CMR170147144</t>
  </si>
  <si>
    <t>CMR170147150</t>
  </si>
  <si>
    <t>CMR170146070</t>
  </si>
  <si>
    <t>CMR170146723</t>
  </si>
  <si>
    <t>21.08.2017</t>
  </si>
  <si>
    <t>SPA170009951</t>
  </si>
  <si>
    <t>24.08.2017</t>
  </si>
  <si>
    <t>CMR170147904</t>
  </si>
  <si>
    <t>25.08.2017</t>
  </si>
  <si>
    <t>CMR170147897</t>
  </si>
  <si>
    <t>CMR170147892</t>
  </si>
  <si>
    <t>CMR170147887</t>
  </si>
  <si>
    <t>CMR170148801</t>
  </si>
  <si>
    <t>CMR170148791</t>
  </si>
  <si>
    <t>CMR170148790</t>
  </si>
  <si>
    <t>CMR170149815</t>
  </si>
  <si>
    <t>24900000</t>
  </si>
  <si>
    <t>CMR170148673</t>
  </si>
  <si>
    <t>CMR170148660</t>
  </si>
  <si>
    <t>29.08.2017</t>
  </si>
  <si>
    <t>CMR170149613</t>
  </si>
  <si>
    <t>01.09.2017</t>
  </si>
  <si>
    <t>CMR170149733</t>
  </si>
  <si>
    <t>CMR170149934</t>
  </si>
  <si>
    <t>CMR170149940</t>
  </si>
  <si>
    <t>CMR170149948</t>
  </si>
  <si>
    <t>CMR170152266</t>
  </si>
  <si>
    <t>CMR170152771</t>
  </si>
  <si>
    <t>CMR170152281</t>
  </si>
  <si>
    <t>CMR170152312</t>
  </si>
  <si>
    <t>CMR170152303</t>
  </si>
  <si>
    <t>CMR170153173</t>
  </si>
  <si>
    <t>CMR170152778</t>
  </si>
  <si>
    <t>CMR170152295</t>
  </si>
  <si>
    <t>CMR170153110</t>
  </si>
  <si>
    <t>CMR170153169</t>
  </si>
  <si>
    <t>CMR170153089</t>
  </si>
  <si>
    <t>CMR170153073</t>
  </si>
  <si>
    <t>CMR170153177</t>
  </si>
  <si>
    <t>CMR170150294</t>
  </si>
  <si>
    <t>CMR170153204</t>
  </si>
  <si>
    <t>CMR170152181</t>
  </si>
  <si>
    <t>CMR170153053</t>
  </si>
  <si>
    <t>CMR170153009</t>
  </si>
  <si>
    <t>CMR170152963</t>
  </si>
  <si>
    <t>CMR170152980</t>
  </si>
  <si>
    <t>CMR170152989</t>
  </si>
  <si>
    <t>CMR170152997</t>
  </si>
  <si>
    <t>04.09.2017</t>
  </si>
  <si>
    <t>CMR170153137</t>
  </si>
  <si>
    <t>CMR170153178</t>
  </si>
  <si>
    <t>CMR170151490</t>
  </si>
  <si>
    <t>CMR170153160</t>
  </si>
  <si>
    <t>CMR170153084</t>
  </si>
  <si>
    <t>05.09.2017</t>
  </si>
  <si>
    <t>CMR170151452</t>
  </si>
  <si>
    <t>07.09.2017</t>
  </si>
  <si>
    <t>31500000</t>
  </si>
  <si>
    <t>08.09.2017</t>
  </si>
  <si>
    <t>22300000</t>
  </si>
  <si>
    <t>8`151.51</t>
  </si>
  <si>
    <t>550.03 </t>
  </si>
  <si>
    <t>2`145.00 </t>
  </si>
  <si>
    <t>17`696.00</t>
  </si>
  <si>
    <t>2`700.00</t>
  </si>
  <si>
    <t>1`900.00</t>
  </si>
  <si>
    <t>2`187.50</t>
  </si>
  <si>
    <t>2`946.00</t>
  </si>
  <si>
    <t>5`500.00</t>
  </si>
  <si>
    <t>4`549.80</t>
  </si>
  <si>
    <t>4`609.40</t>
  </si>
  <si>
    <t>640.00 </t>
  </si>
  <si>
    <t>1`341.00 </t>
  </si>
  <si>
    <t>CMR170142919</t>
  </si>
  <si>
    <t>83.00 </t>
  </si>
  <si>
    <t>180.00 </t>
  </si>
  <si>
    <t>119.90 </t>
  </si>
  <si>
    <t>1`099.39</t>
  </si>
  <si>
    <t>2`602.00</t>
  </si>
  <si>
    <t>2`399.00</t>
  </si>
  <si>
    <t>3`369.90</t>
  </si>
  <si>
    <t>შპს "ბულაჩაური 2017</t>
  </si>
  <si>
    <t>22`780.00</t>
  </si>
  <si>
    <t>9`300.00 </t>
  </si>
  <si>
    <t>3`100.00</t>
  </si>
  <si>
    <t>13`400.00 </t>
  </si>
  <si>
    <t>8`260.00</t>
  </si>
  <si>
    <t>2`512.00</t>
  </si>
  <si>
    <t>2`805.00</t>
  </si>
  <si>
    <t>2`155.00</t>
  </si>
  <si>
    <t>1`630.00</t>
  </si>
  <si>
    <t>CMR170153407</t>
  </si>
  <si>
    <t>CMR170153411</t>
  </si>
  <si>
    <t>CMR170154759</t>
  </si>
  <si>
    <t>1`330.00</t>
  </si>
  <si>
    <t>ი.მ. ბეჟან სებისკვერაძე</t>
  </si>
  <si>
    <t>CMR170153673</t>
  </si>
  <si>
    <t>CMR170154520</t>
  </si>
  <si>
    <t>CMR170153654</t>
  </si>
  <si>
    <t>CMR170153994</t>
  </si>
  <si>
    <t>CMR170153976</t>
  </si>
  <si>
    <t>CMR170154227</t>
  </si>
  <si>
    <t>CMR170154264</t>
  </si>
  <si>
    <t>CMR170154473</t>
  </si>
  <si>
    <t>CMR170153939</t>
  </si>
  <si>
    <t>CMR170156517</t>
  </si>
  <si>
    <t>CMR170153543</t>
  </si>
  <si>
    <t>CMR170152705</t>
  </si>
  <si>
    <t>CMR170153959</t>
  </si>
  <si>
    <t>1`100.00</t>
  </si>
  <si>
    <t>4`150.00</t>
  </si>
  <si>
    <t>2`234.65 </t>
  </si>
  <si>
    <t>790.00 </t>
  </si>
  <si>
    <t>1`700.00 </t>
  </si>
  <si>
    <t>1`173.00</t>
  </si>
  <si>
    <t>1`598.85</t>
  </si>
  <si>
    <t>4`580.00 </t>
  </si>
  <si>
    <t>1`840.00 </t>
  </si>
  <si>
    <t>1`200.00 </t>
  </si>
  <si>
    <t>160`309.50</t>
  </si>
  <si>
    <t>8`347.98</t>
  </si>
  <si>
    <t>10`350.00</t>
  </si>
  <si>
    <t>3`375.00</t>
  </si>
  <si>
    <t>შპს "ევროექსპო სტენდი"</t>
  </si>
  <si>
    <t>სტენდის მშენებლობა რუსეთის გამოფენაზე</t>
  </si>
  <si>
    <t>შპს "დ-გრუპი"</t>
  </si>
  <si>
    <t>ი.მ. ბელა კუპრავა</t>
  </si>
  <si>
    <t>შპს "ტეგეტა მოტორსი"</t>
  </si>
  <si>
    <t>11.09.2017</t>
  </si>
  <si>
    <t>CMR170154029</t>
  </si>
  <si>
    <t>15.09.2017</t>
  </si>
  <si>
    <t>CMR170158381</t>
  </si>
  <si>
    <t>CMR170158217</t>
  </si>
  <si>
    <t>CMR170158215</t>
  </si>
  <si>
    <t>19.09.2017</t>
  </si>
  <si>
    <t>20.09.2017</t>
  </si>
  <si>
    <t>CMR170160537</t>
  </si>
  <si>
    <t>37.00 </t>
  </si>
  <si>
    <t>ი.მ. გიორგი თამარაშვილი</t>
  </si>
  <si>
    <t>გეოლოგიის დასკვნა და ტოპო გეგმა</t>
  </si>
  <si>
    <t>ი.მ. ლევან ცინცქალაძე</t>
  </si>
  <si>
    <t>შპს "ამერი პლაზა ჰორეკა ჯგუფი"</t>
  </si>
  <si>
    <t>ფ.პ. ამირან ჩიღოშვილი</t>
  </si>
  <si>
    <t>შპს "სალვე"</t>
  </si>
  <si>
    <t>პანკისობის ღონისძიების ორგანიზება</t>
  </si>
  <si>
    <t>შპს "კულინარტი"</t>
  </si>
  <si>
    <t>შპს "ჯორჯიან ინ"</t>
  </si>
  <si>
    <t>ამხანაგობა "კულინარიუმ ქუქინგ სქუულ"</t>
  </si>
  <si>
    <t>ი.მ. თამარა ნინიძე</t>
  </si>
  <si>
    <t>შპს "ბი.ეფ.ჯი."</t>
  </si>
  <si>
    <t>ი.მ. ვლადიმერ სამხარაძე</t>
  </si>
  <si>
    <t>.შპს "ნივადა გრუპი"</t>
  </si>
  <si>
    <t>ცეცხლმაქრების შესყიდვა</t>
  </si>
  <si>
    <t>21.09.2017</t>
  </si>
  <si>
    <t>71300000</t>
  </si>
  <si>
    <t>SPA170011133</t>
  </si>
  <si>
    <t>22.09.2017</t>
  </si>
  <si>
    <t>CMR170160524</t>
  </si>
  <si>
    <t>CMR170160682</t>
  </si>
  <si>
    <t>25.09.2017</t>
  </si>
  <si>
    <t>CMR170163681</t>
  </si>
  <si>
    <t>CMR170163122</t>
  </si>
  <si>
    <t>26.09.2017</t>
  </si>
  <si>
    <t>27.09.2017</t>
  </si>
  <si>
    <t>SPA170010915</t>
  </si>
  <si>
    <t>28.09.2017</t>
  </si>
  <si>
    <t>29.09.2017</t>
  </si>
  <si>
    <t>35100000</t>
  </si>
  <si>
    <t>CMR170154985</t>
  </si>
  <si>
    <t>CMR170154987</t>
  </si>
  <si>
    <t>CMR170154981</t>
  </si>
  <si>
    <t>240.00 </t>
  </si>
  <si>
    <t>2`838.00 </t>
  </si>
  <si>
    <t>CMR170153756</t>
  </si>
  <si>
    <t>3`072.72</t>
  </si>
  <si>
    <t>CMR170161705</t>
  </si>
  <si>
    <t>CMR170162939</t>
  </si>
  <si>
    <t>CMR170161293</t>
  </si>
  <si>
    <t>CMR170162359</t>
  </si>
  <si>
    <t>CMR170161630</t>
  </si>
  <si>
    <t>CMR170161672</t>
  </si>
  <si>
    <t>CMR170161678</t>
  </si>
  <si>
    <t>CMR170161686</t>
  </si>
  <si>
    <t>CMR170161585</t>
  </si>
  <si>
    <t>280.00 </t>
  </si>
  <si>
    <t>46`169.13</t>
  </si>
  <si>
    <t>5`400.00 </t>
  </si>
  <si>
    <t>CMR170162850</t>
  </si>
  <si>
    <t>2`925.00</t>
  </si>
  <si>
    <t>2`724.04 </t>
  </si>
  <si>
    <t>26`897.86 </t>
  </si>
  <si>
    <t>CMR170164296</t>
  </si>
  <si>
    <t>1`325.00</t>
  </si>
  <si>
    <t>91`880.16</t>
  </si>
  <si>
    <t>CMR170165401</t>
  </si>
  <si>
    <t>CMR170164668</t>
  </si>
  <si>
    <t>CMR170164138</t>
  </si>
  <si>
    <t>CMR170164303</t>
  </si>
  <si>
    <t>CMR170164318</t>
  </si>
  <si>
    <t>CMR170166632</t>
  </si>
  <si>
    <t>CMR170166687</t>
  </si>
  <si>
    <t>CMR170166701</t>
  </si>
  <si>
    <t>CMR170166710</t>
  </si>
  <si>
    <t>CMR170164334</t>
  </si>
  <si>
    <t>CMR170167667</t>
  </si>
  <si>
    <t>CMR170167608</t>
  </si>
  <si>
    <t>CMR170167652</t>
  </si>
  <si>
    <t>CMR170167645</t>
  </si>
  <si>
    <t>CMR170167763</t>
  </si>
  <si>
    <t>CMR170167649</t>
  </si>
  <si>
    <t>CMR170167619</t>
  </si>
  <si>
    <t>CMR170167636</t>
  </si>
  <si>
    <t>CMR170167640</t>
  </si>
  <si>
    <t>CMR170164354</t>
  </si>
  <si>
    <t>CMR170164403</t>
  </si>
  <si>
    <t>CMR170164398</t>
  </si>
  <si>
    <t>CMR170164359</t>
  </si>
  <si>
    <t>CMR170164701</t>
  </si>
  <si>
    <t>CMR170167660</t>
  </si>
  <si>
    <t>CMR170165199</t>
  </si>
  <si>
    <t>CMR170166715</t>
  </si>
  <si>
    <t>CMR170166725</t>
  </si>
  <si>
    <t>CMR170166176</t>
  </si>
  <si>
    <t>CMR170168936</t>
  </si>
  <si>
    <t>CMR170168941</t>
  </si>
  <si>
    <t>CMR170168949</t>
  </si>
  <si>
    <t>CMR170168337</t>
  </si>
  <si>
    <t>CMR170168340</t>
  </si>
  <si>
    <t>CMR170170025</t>
  </si>
  <si>
    <t>CMR170168341</t>
  </si>
  <si>
    <t>CMR170168752</t>
  </si>
  <si>
    <t>CMR170167793</t>
  </si>
  <si>
    <t>CMR170168254</t>
  </si>
  <si>
    <t>CMR170169436</t>
  </si>
  <si>
    <t>შპს"ესთიაი ჯორჯია"</t>
  </si>
  <si>
    <t>შპს "ტრაფიკ თრაველი"</t>
  </si>
  <si>
    <t>შპს "ვოლდფაუნდ უნივერსალი"</t>
  </si>
  <si>
    <t>ი.მ. გოგი მარგველაძე</t>
  </si>
  <si>
    <t>ი.მ. მერაბ ჯანელიძე</t>
  </si>
  <si>
    <t>ფ.პ. ტარიელ თომაძე</t>
  </si>
  <si>
    <t>შპს "italian exhibition group s.p.a."</t>
  </si>
  <si>
    <t>იტალიის სტენდის მშენებლობა</t>
  </si>
  <si>
    <t>შპს "სითი პარკი"</t>
  </si>
  <si>
    <t>პარკირების საფასური</t>
  </si>
  <si>
    <t>შპს "ეზო"</t>
  </si>
  <si>
    <t>შპს "ჯორჯია ინ"</t>
  </si>
  <si>
    <t>ფ.პ. ელენა შენგელია</t>
  </si>
  <si>
    <t>03.10.2017</t>
  </si>
  <si>
    <t>04.10.2017</t>
  </si>
  <si>
    <t>05.10.2017</t>
  </si>
  <si>
    <t>06.10.2017</t>
  </si>
  <si>
    <t>09.10.2017</t>
  </si>
  <si>
    <t>10.10.2017</t>
  </si>
  <si>
    <t>31.12.2018</t>
  </si>
  <si>
    <t>15.01.2018</t>
  </si>
  <si>
    <t>13.10.2017</t>
  </si>
  <si>
    <t>547.00 </t>
  </si>
  <si>
    <t>429.50 </t>
  </si>
  <si>
    <t>1`033.50</t>
  </si>
  <si>
    <t>1`197.00 </t>
  </si>
  <si>
    <t>CMR170161572</t>
  </si>
  <si>
    <t>266.00 </t>
  </si>
  <si>
    <t>1`215.40 </t>
  </si>
  <si>
    <t>1`600.00 </t>
  </si>
  <si>
    <t>შპს სახანძრო სიგნალიზაცია ნაპერწკალი</t>
  </si>
  <si>
    <t>6`171.00 </t>
  </si>
  <si>
    <t>3`400.00</t>
  </si>
  <si>
    <t>8`499.00</t>
  </si>
  <si>
    <t>2`651.00 </t>
  </si>
  <si>
    <t>220.00 </t>
  </si>
  <si>
    <t>3`500.00 </t>
  </si>
  <si>
    <t>2`850.00 </t>
  </si>
  <si>
    <t>1`144.00 </t>
  </si>
  <si>
    <t>CMR170153533</t>
  </si>
  <si>
    <t>1`199.88</t>
  </si>
  <si>
    <t>1`330.00 </t>
  </si>
  <si>
    <t>2`479.98</t>
  </si>
  <si>
    <t>CMR170170678</t>
  </si>
  <si>
    <t>CMR170172459</t>
  </si>
  <si>
    <t>1`550.00 </t>
  </si>
  <si>
    <t xml:space="preserve">1`550.00 </t>
  </si>
  <si>
    <t>სარეკლამო კამპანია - რუსეთი, ბელორუსია, ყაზახეთი</t>
  </si>
  <si>
    <t>სარეკლამო კამპანია - გერმანია, იტალია, დიდი ბრიტანეთი, ისრაელი, ლატვია, ლიტვა, ესტონეთი, პოლონეთი, საემიროები, საუდის არაბეთი, ქუვეითი, ბაჰრეინი, თურქეთი</t>
  </si>
  <si>
    <t>ფ.პ. ზაზა ჭითანავა</t>
  </si>
  <si>
    <t>ანტიფრიზის შესყიდვა</t>
  </si>
  <si>
    <t>LTD "CORDOVA"</t>
  </si>
  <si>
    <t xml:space="preserve">პოლონეთის გამოფენაზე სტენდის მშენებლობა </t>
  </si>
  <si>
    <t>ფ.პ. თეიმურაზ ხუციშვილი</t>
  </si>
  <si>
    <t>კონდინციონერის შეკეთება</t>
  </si>
  <si>
    <t>CMR170170637</t>
  </si>
  <si>
    <t>CMR170172489</t>
  </si>
  <si>
    <t>CMR170172479</t>
  </si>
  <si>
    <t>16.10.2017</t>
  </si>
  <si>
    <t>CMR170171878</t>
  </si>
  <si>
    <t>50700000</t>
  </si>
  <si>
    <t>17.10.2017</t>
  </si>
  <si>
    <t>34300000</t>
  </si>
  <si>
    <t>18.10.2017</t>
  </si>
  <si>
    <t>45.00 </t>
  </si>
  <si>
    <t>CMR170171698</t>
  </si>
  <si>
    <t>25`424.01</t>
  </si>
  <si>
    <t>შპს "EDT" srl</t>
  </si>
  <si>
    <t>პრეზენტაციის ორგანიზება იტალიაში</t>
  </si>
  <si>
    <t>შპს "ბრუდერშაფტი"</t>
  </si>
  <si>
    <t>სასცენო კონსტრუქციები და დეკორაციები</t>
  </si>
  <si>
    <t>სსიპ სახელმწიფო სპეციალური კავშირები</t>
  </si>
  <si>
    <t>რეკლამა ჟურნალში where</t>
  </si>
  <si>
    <t>24.10.2017</t>
  </si>
  <si>
    <t>CMR170175942</t>
  </si>
  <si>
    <t>CMR170177150</t>
  </si>
  <si>
    <t>64200000</t>
  </si>
  <si>
    <t>CMR170176439</t>
  </si>
  <si>
    <t>CMR170176978</t>
  </si>
  <si>
    <t>CMR170175869</t>
  </si>
  <si>
    <t>CMR170175381</t>
  </si>
  <si>
    <t>CMR170175391</t>
  </si>
  <si>
    <t>CMR170170904</t>
  </si>
  <si>
    <t>CMR170174399</t>
  </si>
  <si>
    <t>CMR170174549</t>
  </si>
  <si>
    <t>CMR170171409</t>
  </si>
  <si>
    <t>CMR170171421</t>
  </si>
  <si>
    <t>CMR170174694</t>
  </si>
  <si>
    <t>CMR170171701</t>
  </si>
  <si>
    <t>CMR170171692</t>
  </si>
  <si>
    <t>CMR170175338</t>
  </si>
  <si>
    <t>CMR170174703</t>
  </si>
  <si>
    <t>CMR170174668</t>
  </si>
  <si>
    <t>CMR170174734</t>
  </si>
  <si>
    <t>CMR170174737</t>
  </si>
  <si>
    <t>CMR170174738</t>
  </si>
  <si>
    <t>CMR170176350</t>
  </si>
  <si>
    <t>CMR170176358</t>
  </si>
  <si>
    <t>278.30 </t>
  </si>
  <si>
    <t>CMR170170252</t>
  </si>
  <si>
    <t>2`300.00</t>
  </si>
  <si>
    <t>10`745.00 </t>
  </si>
  <si>
    <t>658`350.00</t>
  </si>
  <si>
    <t>CMR170174677</t>
  </si>
  <si>
    <t>CMR170176737</t>
  </si>
  <si>
    <t>22`139.57</t>
  </si>
  <si>
    <t>CMR170175276</t>
  </si>
  <si>
    <t>935.10 </t>
  </si>
  <si>
    <t>3`200.00 </t>
  </si>
  <si>
    <t>2`232.50</t>
  </si>
  <si>
    <t>1`314.00</t>
  </si>
  <si>
    <t>1`062.50</t>
  </si>
  <si>
    <t>885.50 </t>
  </si>
  <si>
    <t>1`050.00</t>
  </si>
  <si>
    <t>217`754.33</t>
  </si>
  <si>
    <t>5`962.60</t>
  </si>
  <si>
    <t>1`310.00</t>
  </si>
  <si>
    <t>1`112.50 </t>
  </si>
  <si>
    <t>3`500.00</t>
  </si>
  <si>
    <t>212.50 </t>
  </si>
  <si>
    <t>1`062`533.00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</si>
</sst>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 ;[Red]\-#,##0.00\ "/>
    <numFmt numFmtId="165" formatCode="mm/dd/yyyy"/>
    <numFmt numFmtId="166" formatCode="dd\.mm\.yyyy;@"/>
    <numFmt numFmtId="167" formatCode="dd\.mm\.yyyy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ylfaen"/>
      <family val="1"/>
      <charset val="204"/>
    </font>
    <font>
      <sz val="8"/>
      <name val="Sylfaen"/>
      <family val="1"/>
      <charset val="204"/>
    </font>
    <font>
      <sz val="10"/>
      <name val="Arial"/>
      <family val="2"/>
      <charset val="204"/>
    </font>
    <font>
      <sz val="8"/>
      <name val="Calibri"/>
      <family val="2"/>
    </font>
    <font>
      <vertAlign val="superscript"/>
      <sz val="8"/>
      <name val="Sylfae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Sylfae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Sylfaen"/>
      <family val="1"/>
    </font>
    <font>
      <sz val="8"/>
      <name val="Arial"/>
      <family val="2"/>
      <charset val="204"/>
    </font>
    <font>
      <sz val="8"/>
      <color rgb="FFFF0000"/>
      <name val="Sylfaen"/>
      <family val="1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8"/>
      <color theme="1"/>
      <name val="Sylfaen"/>
      <family val="1"/>
    </font>
    <font>
      <b/>
      <sz val="11"/>
      <color rgb="FF222222"/>
      <name val="Verdan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Sylfaen"/>
      <family val="1"/>
    </font>
    <font>
      <sz val="10"/>
      <color theme="1"/>
      <name val="Verdana"/>
      <family val="2"/>
      <charset val="204"/>
    </font>
    <font>
      <b/>
      <sz val="8"/>
      <color rgb="FF0073EA"/>
      <name val="Verdana"/>
      <family val="2"/>
      <charset val="204"/>
    </font>
    <font>
      <sz val="10"/>
      <color rgb="FF222222"/>
      <name val="Verdana"/>
      <family val="2"/>
      <charset val="204"/>
    </font>
    <font>
      <b/>
      <sz val="12"/>
      <name val="Sylfaen"/>
      <family val="1"/>
      <charset val="204"/>
    </font>
    <font>
      <sz val="9"/>
      <color theme="1" tint="4.9989318521683403E-2"/>
      <name val="Verdana"/>
      <family val="2"/>
      <charset val="204"/>
    </font>
    <font>
      <sz val="11"/>
      <color rgb="FF222222"/>
      <name val="Verdana"/>
      <family val="2"/>
      <charset val="204"/>
    </font>
    <font>
      <b/>
      <sz val="14"/>
      <color rgb="FF0073EA"/>
      <name val="Verdana"/>
      <family val="2"/>
      <charset val="204"/>
    </font>
    <font>
      <b/>
      <sz val="10"/>
      <color rgb="FF0073EA"/>
      <name val="Verdana"/>
      <family val="2"/>
      <charset val="204"/>
    </font>
    <font>
      <sz val="9"/>
      <name val="Sylfaen"/>
      <family val="1"/>
    </font>
    <font>
      <b/>
      <sz val="12"/>
      <color rgb="FF222222"/>
      <name val="Verdana"/>
      <family val="2"/>
      <charset val="204"/>
    </font>
    <font>
      <b/>
      <sz val="12"/>
      <name val="Sylfaen"/>
      <family val="1"/>
    </font>
    <font>
      <b/>
      <sz val="12"/>
      <color rgb="FFFF0000"/>
      <name val="Sylfaen"/>
      <family val="1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/>
    <xf numFmtId="0" fontId="1" fillId="0" borderId="0"/>
  </cellStyleXfs>
  <cellXfs count="81">
    <xf numFmtId="0" fontId="0" fillId="0" borderId="0" xfId="0"/>
    <xf numFmtId="0" fontId="12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165" fontId="12" fillId="3" borderId="1" xfId="0" applyNumberFormat="1" applyFont="1" applyFill="1" applyBorder="1" applyAlignment="1">
      <alignment horizontal="center" vertical="center" wrapText="1"/>
    </xf>
    <xf numFmtId="166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2" fontId="12" fillId="6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2" fillId="0" borderId="1" xfId="0" applyFont="1" applyFill="1" applyBorder="1"/>
    <xf numFmtId="0" fontId="23" fillId="0" borderId="1" xfId="0" applyFont="1" applyBorder="1"/>
    <xf numFmtId="0" fontId="12" fillId="7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32" fillId="4" borderId="1" xfId="2" applyFont="1" applyFill="1" applyBorder="1" applyAlignment="1">
      <alignment horizontal="center" vertical="center" wrapText="1"/>
    </xf>
    <xf numFmtId="2" fontId="12" fillId="4" borderId="1" xfId="2" applyNumberFormat="1" applyFont="1" applyFill="1" applyBorder="1" applyAlignment="1">
      <alignment horizontal="center" vertical="center" wrapText="1"/>
    </xf>
    <xf numFmtId="14" fontId="12" fillId="4" borderId="1" xfId="2" applyNumberFormat="1" applyFont="1" applyFill="1" applyBorder="1" applyAlignment="1">
      <alignment horizontal="center" vertical="center" wrapText="1"/>
    </xf>
    <xf numFmtId="49" fontId="12" fillId="4" borderId="1" xfId="2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vertical="center"/>
    </xf>
    <xf numFmtId="0" fontId="12" fillId="8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2" fontId="17" fillId="7" borderId="1" xfId="0" applyNumberFormat="1" applyFont="1" applyFill="1" applyBorder="1" applyAlignment="1">
      <alignment horizontal="center" vertical="center" wrapText="1"/>
    </xf>
    <xf numFmtId="0" fontId="31" fillId="9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27" fillId="9" borderId="1" xfId="0" applyFont="1" applyFill="1" applyBorder="1" applyAlignment="1">
      <alignment vertical="center" wrapText="1"/>
    </xf>
    <xf numFmtId="0" fontId="29" fillId="0" borderId="1" xfId="0" applyFont="1" applyBorder="1"/>
    <xf numFmtId="0" fontId="28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12" fillId="4" borderId="1" xfId="2" applyNumberFormat="1" applyFont="1" applyFill="1" applyBorder="1" applyAlignment="1">
      <alignment horizontal="center" vertical="center" wrapText="1"/>
    </xf>
  </cellXfs>
  <cellStyles count="5">
    <cellStyle name="Hyperlink" xfId="1" builtinId="8"/>
    <cellStyle name="Normal" xfId="0" builtinId="0"/>
    <cellStyle name="Normal 2" xfId="2"/>
    <cellStyle name="Normal 3 2" xfId="3"/>
    <cellStyle name="Normal 3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S1051"/>
  <sheetViews>
    <sheetView tabSelected="1" topLeftCell="B1" zoomScale="90" zoomScaleNormal="90" workbookViewId="0">
      <pane xSplit="1" topLeftCell="C1" activePane="topRight" state="frozen"/>
      <selection activeCell="B1" sqref="B1"/>
      <selection pane="topRight" activeCell="G7" sqref="G7"/>
    </sheetView>
  </sheetViews>
  <sheetFormatPr defaultRowHeight="18" x14ac:dyDescent="0.25"/>
  <cols>
    <col min="1" max="1" width="5" style="1" hidden="1" customWidth="1"/>
    <col min="2" max="2" width="5" style="1" bestFit="1" customWidth="1"/>
    <col min="3" max="3" width="22.85546875" style="1" customWidth="1"/>
    <col min="4" max="4" width="21.5703125" style="1" customWidth="1"/>
    <col min="5" max="5" width="24.140625" style="44" bestFit="1" customWidth="1"/>
    <col min="6" max="6" width="12.85546875" style="27" customWidth="1"/>
    <col min="7" max="7" width="9.28515625" style="25" bestFit="1" customWidth="1"/>
    <col min="8" max="8" width="8.7109375" style="26" bestFit="1" customWidth="1"/>
    <col min="9" max="9" width="12" style="1" customWidth="1"/>
    <col min="10" max="10" width="14" style="2" customWidth="1"/>
    <col min="11" max="11" width="24.140625" style="1" customWidth="1"/>
    <col min="12" max="12" width="18.140625" style="3" customWidth="1"/>
    <col min="13" max="246" width="18.140625" style="1" customWidth="1"/>
    <col min="247" max="16384" width="9.140625" style="1"/>
  </cols>
  <sheetData>
    <row r="1" spans="1:12" ht="12.75" x14ac:dyDescent="0.25">
      <c r="B1" s="79" t="s">
        <v>22</v>
      </c>
      <c r="C1" s="79"/>
      <c r="D1" s="79"/>
      <c r="E1" s="79"/>
      <c r="F1" s="79"/>
      <c r="G1" s="79"/>
      <c r="H1" s="79"/>
      <c r="I1" s="79"/>
    </row>
    <row r="2" spans="1:12" ht="36" x14ac:dyDescent="0.25">
      <c r="B2" s="45" t="s">
        <v>2</v>
      </c>
      <c r="C2" s="46" t="s">
        <v>13</v>
      </c>
      <c r="D2" s="46" t="s">
        <v>14</v>
      </c>
      <c r="E2" s="47" t="s">
        <v>219</v>
      </c>
      <c r="F2" s="48" t="s">
        <v>15</v>
      </c>
      <c r="G2" s="80" t="s">
        <v>16</v>
      </c>
      <c r="H2" s="80"/>
      <c r="I2" s="49" t="s">
        <v>0</v>
      </c>
      <c r="J2" s="50" t="s">
        <v>17</v>
      </c>
      <c r="K2" s="51" t="s">
        <v>1</v>
      </c>
      <c r="L2" s="3" t="s">
        <v>18</v>
      </c>
    </row>
    <row r="3" spans="1:12" ht="45" x14ac:dyDescent="0.25">
      <c r="B3" s="5">
        <v>126</v>
      </c>
      <c r="C3" s="5" t="s">
        <v>250</v>
      </c>
      <c r="D3" s="5" t="s">
        <v>1965</v>
      </c>
      <c r="E3" s="40">
        <f>283+618</f>
        <v>901</v>
      </c>
      <c r="F3" s="6">
        <v>4564</v>
      </c>
      <c r="G3" s="5" t="s">
        <v>817</v>
      </c>
      <c r="H3" s="5" t="s">
        <v>26</v>
      </c>
      <c r="I3" s="5" t="s">
        <v>19</v>
      </c>
      <c r="J3" s="5">
        <v>50100000</v>
      </c>
      <c r="K3" s="11" t="s">
        <v>21</v>
      </c>
      <c r="L3" s="5" t="s">
        <v>1966</v>
      </c>
    </row>
    <row r="4" spans="1:12" ht="45" x14ac:dyDescent="0.25">
      <c r="B4" s="5">
        <v>125</v>
      </c>
      <c r="C4" s="5" t="s">
        <v>252</v>
      </c>
      <c r="D4" s="5" t="s">
        <v>816</v>
      </c>
      <c r="E4" s="40">
        <v>241</v>
      </c>
      <c r="F4" s="6">
        <v>4900</v>
      </c>
      <c r="G4" s="5" t="s">
        <v>817</v>
      </c>
      <c r="H4" s="5" t="s">
        <v>26</v>
      </c>
      <c r="I4" s="5" t="s">
        <v>19</v>
      </c>
      <c r="J4" s="5">
        <v>50100000</v>
      </c>
      <c r="K4" s="11" t="s">
        <v>21</v>
      </c>
      <c r="L4" s="5" t="s">
        <v>818</v>
      </c>
    </row>
    <row r="5" spans="1:12" ht="34.5" customHeight="1" x14ac:dyDescent="0.25">
      <c r="B5" s="5">
        <v>16</v>
      </c>
      <c r="C5" s="5" t="s">
        <v>819</v>
      </c>
      <c r="D5" s="5" t="s">
        <v>820</v>
      </c>
      <c r="E5" s="38">
        <f>2732.98</f>
        <v>2732.98</v>
      </c>
      <c r="F5" s="6">
        <v>25366.48</v>
      </c>
      <c r="G5" s="5" t="s">
        <v>823</v>
      </c>
      <c r="H5" s="5" t="s">
        <v>325</v>
      </c>
      <c r="I5" s="5" t="s">
        <v>8</v>
      </c>
      <c r="J5" s="5" t="s">
        <v>825</v>
      </c>
      <c r="K5" s="5"/>
      <c r="L5" s="5" t="s">
        <v>827</v>
      </c>
    </row>
    <row r="6" spans="1:12" x14ac:dyDescent="0.25">
      <c r="B6" s="5">
        <v>17</v>
      </c>
      <c r="C6" s="5" t="s">
        <v>819</v>
      </c>
      <c r="D6" s="5" t="s">
        <v>56</v>
      </c>
      <c r="E6" s="38">
        <f>408.48</f>
        <v>408.48</v>
      </c>
      <c r="F6" s="6">
        <v>5648.5</v>
      </c>
      <c r="G6" s="5" t="s">
        <v>823</v>
      </c>
      <c r="H6" s="5" t="s">
        <v>325</v>
      </c>
      <c r="I6" s="5" t="s">
        <v>8</v>
      </c>
      <c r="J6" s="5" t="s">
        <v>826</v>
      </c>
      <c r="K6" s="5"/>
      <c r="L6" s="1" t="s">
        <v>828</v>
      </c>
    </row>
    <row r="7" spans="1:12" ht="168.75" x14ac:dyDescent="0.25">
      <c r="B7" s="5">
        <v>11</v>
      </c>
      <c r="C7" s="5" t="s">
        <v>821</v>
      </c>
      <c r="D7" s="15" t="s">
        <v>822</v>
      </c>
      <c r="E7" s="38">
        <v>14.5</v>
      </c>
      <c r="F7" s="6">
        <v>566.79999999999995</v>
      </c>
      <c r="G7" s="7" t="s">
        <v>824</v>
      </c>
      <c r="H7" s="26" t="s">
        <v>325</v>
      </c>
      <c r="I7" s="9" t="s">
        <v>19</v>
      </c>
      <c r="J7" s="4"/>
      <c r="K7" s="16" t="s">
        <v>829</v>
      </c>
      <c r="L7" s="5" t="s">
        <v>830</v>
      </c>
    </row>
    <row r="8" spans="1:12" ht="45.75" x14ac:dyDescent="0.25">
      <c r="B8" s="1">
        <v>1</v>
      </c>
      <c r="C8" s="5" t="s">
        <v>23</v>
      </c>
      <c r="D8" s="5" t="s">
        <v>24</v>
      </c>
      <c r="E8" s="40">
        <f>1031.87*3</f>
        <v>3095.6099999999997</v>
      </c>
      <c r="F8" s="6">
        <v>4127.49</v>
      </c>
      <c r="G8" s="7" t="s">
        <v>25</v>
      </c>
      <c r="H8" s="8" t="s">
        <v>26</v>
      </c>
      <c r="I8" s="9" t="s">
        <v>19</v>
      </c>
      <c r="J8" s="10" t="s">
        <v>32</v>
      </c>
      <c r="K8" s="11" t="s">
        <v>7</v>
      </c>
      <c r="L8" s="12" t="s">
        <v>66</v>
      </c>
    </row>
    <row r="9" spans="1:12" ht="90" x14ac:dyDescent="0.25">
      <c r="A9" s="5"/>
      <c r="B9" s="5">
        <v>2</v>
      </c>
      <c r="C9" s="5" t="s">
        <v>33</v>
      </c>
      <c r="D9" s="5" t="s">
        <v>34</v>
      </c>
      <c r="E9" s="40">
        <f>490.54+487.69+491.69+496.68+504.67+502.82+504.47+506.22+488.39</f>
        <v>4473.170000000001</v>
      </c>
      <c r="F9" s="6">
        <v>6510</v>
      </c>
      <c r="G9" s="7" t="s">
        <v>25</v>
      </c>
      <c r="H9" s="8" t="s">
        <v>26</v>
      </c>
      <c r="I9" s="9" t="s">
        <v>19</v>
      </c>
      <c r="J9" s="10" t="s">
        <v>35</v>
      </c>
      <c r="K9" s="13" t="s">
        <v>27</v>
      </c>
      <c r="L9" s="12" t="s">
        <v>65</v>
      </c>
    </row>
    <row r="10" spans="1:12" ht="90" x14ac:dyDescent="0.25">
      <c r="A10" s="5"/>
      <c r="B10" s="5">
        <v>3</v>
      </c>
      <c r="C10" s="5" t="s">
        <v>779</v>
      </c>
      <c r="D10" s="5" t="s">
        <v>37</v>
      </c>
      <c r="E10" s="40">
        <f>2450*9</f>
        <v>22050</v>
      </c>
      <c r="F10" s="6">
        <v>29400</v>
      </c>
      <c r="G10" s="7" t="s">
        <v>25</v>
      </c>
      <c r="H10" s="8" t="s">
        <v>26</v>
      </c>
      <c r="I10" s="9" t="s">
        <v>19</v>
      </c>
      <c r="J10" s="10" t="s">
        <v>35</v>
      </c>
      <c r="K10" s="13" t="s">
        <v>27</v>
      </c>
      <c r="L10" s="5" t="s">
        <v>67</v>
      </c>
    </row>
    <row r="11" spans="1:12" ht="90" x14ac:dyDescent="0.25">
      <c r="A11" s="5"/>
      <c r="B11" s="1">
        <v>4</v>
      </c>
      <c r="C11" s="5" t="s">
        <v>518</v>
      </c>
      <c r="D11" s="5" t="s">
        <v>38</v>
      </c>
      <c r="E11" s="40">
        <f>176+195+195+195+195+195+195+195+195</f>
        <v>1736</v>
      </c>
      <c r="F11" s="6">
        <v>2321</v>
      </c>
      <c r="G11" s="7" t="s">
        <v>25</v>
      </c>
      <c r="H11" s="8" t="s">
        <v>26</v>
      </c>
      <c r="I11" s="9" t="s">
        <v>19</v>
      </c>
      <c r="J11" s="5">
        <v>72400000</v>
      </c>
      <c r="K11" s="13" t="s">
        <v>27</v>
      </c>
      <c r="L11" s="5" t="s">
        <v>70</v>
      </c>
    </row>
    <row r="12" spans="1:12" ht="90" x14ac:dyDescent="0.25">
      <c r="A12" s="5"/>
      <c r="B12" s="1">
        <v>5</v>
      </c>
      <c r="C12" s="5" t="s">
        <v>39</v>
      </c>
      <c r="D12" s="5" t="s">
        <v>6</v>
      </c>
      <c r="E12" s="40">
        <f>175.38+183.71+138.28+54.54+80.47+87.3+70.97+68.16+63.03</f>
        <v>921.83999999999992</v>
      </c>
      <c r="F12" s="6">
        <v>3971</v>
      </c>
      <c r="G12" s="7" t="s">
        <v>25</v>
      </c>
      <c r="H12" s="8" t="s">
        <v>26</v>
      </c>
      <c r="I12" s="9" t="s">
        <v>19</v>
      </c>
      <c r="J12" s="5">
        <v>64200000</v>
      </c>
      <c r="K12" s="13" t="s">
        <v>27</v>
      </c>
      <c r="L12" s="5" t="s">
        <v>71</v>
      </c>
    </row>
    <row r="13" spans="1:12" ht="180" x14ac:dyDescent="0.25">
      <c r="A13" s="5"/>
      <c r="B13" s="5">
        <v>6</v>
      </c>
      <c r="C13" s="5" t="s">
        <v>40</v>
      </c>
      <c r="D13" s="5" t="s">
        <v>30</v>
      </c>
      <c r="E13" s="40">
        <f>9*4200</f>
        <v>37800</v>
      </c>
      <c r="F13" s="6">
        <v>50400</v>
      </c>
      <c r="G13" s="7" t="s">
        <v>25</v>
      </c>
      <c r="H13" s="8" t="s">
        <v>26</v>
      </c>
      <c r="I13" s="9" t="s">
        <v>19</v>
      </c>
      <c r="J13" s="5">
        <v>79700000</v>
      </c>
      <c r="K13" s="14" t="s">
        <v>31</v>
      </c>
      <c r="L13" s="5" t="s">
        <v>62</v>
      </c>
    </row>
    <row r="14" spans="1:12" ht="90" x14ac:dyDescent="0.25">
      <c r="A14" s="5"/>
      <c r="B14" s="5">
        <v>7</v>
      </c>
      <c r="C14" s="5" t="s">
        <v>41</v>
      </c>
      <c r="D14" s="5" t="s">
        <v>42</v>
      </c>
      <c r="E14" s="40">
        <f>8*1000+1250</f>
        <v>9250</v>
      </c>
      <c r="F14" s="6">
        <v>15000</v>
      </c>
      <c r="G14" s="7" t="s">
        <v>25</v>
      </c>
      <c r="H14" s="8" t="s">
        <v>26</v>
      </c>
      <c r="I14" s="9" t="s">
        <v>19</v>
      </c>
      <c r="J14" s="5">
        <v>72200000</v>
      </c>
      <c r="K14" s="13" t="s">
        <v>20</v>
      </c>
      <c r="L14" s="5" t="s">
        <v>64</v>
      </c>
    </row>
    <row r="15" spans="1:12" ht="45" x14ac:dyDescent="0.25">
      <c r="A15" s="5"/>
      <c r="B15" s="1">
        <v>8</v>
      </c>
      <c r="C15" s="5" t="s">
        <v>43</v>
      </c>
      <c r="D15" s="5" t="s">
        <v>44</v>
      </c>
      <c r="E15" s="40" t="s">
        <v>978</v>
      </c>
      <c r="F15" s="6">
        <v>2112</v>
      </c>
      <c r="G15" s="7" t="s">
        <v>25</v>
      </c>
      <c r="H15" s="8" t="s">
        <v>26</v>
      </c>
      <c r="I15" s="9" t="s">
        <v>19</v>
      </c>
      <c r="J15" s="5">
        <v>48300000</v>
      </c>
      <c r="K15" s="11" t="s">
        <v>29</v>
      </c>
      <c r="L15" s="5" t="s">
        <v>63</v>
      </c>
    </row>
    <row r="16" spans="1:12" ht="45.75" x14ac:dyDescent="0.25">
      <c r="A16" s="5"/>
      <c r="B16" s="1">
        <v>9</v>
      </c>
      <c r="C16" s="5" t="s">
        <v>45</v>
      </c>
      <c r="D16" s="5" t="s">
        <v>46</v>
      </c>
      <c r="E16" s="38">
        <f>50*9</f>
        <v>450</v>
      </c>
      <c r="F16" s="6">
        <v>600</v>
      </c>
      <c r="G16" s="7" t="s">
        <v>25</v>
      </c>
      <c r="H16" s="8" t="s">
        <v>26</v>
      </c>
      <c r="I16" s="9" t="s">
        <v>19</v>
      </c>
      <c r="J16" s="5">
        <v>79700000</v>
      </c>
      <c r="K16" s="11" t="s">
        <v>7</v>
      </c>
      <c r="L16" s="5" t="s">
        <v>69</v>
      </c>
    </row>
    <row r="17" spans="1:12" ht="45.75" x14ac:dyDescent="0.25">
      <c r="A17" s="5"/>
      <c r="B17" s="5">
        <v>11</v>
      </c>
      <c r="C17" s="5" t="s">
        <v>47</v>
      </c>
      <c r="D17" s="15" t="s">
        <v>48</v>
      </c>
      <c r="E17" s="40">
        <f>80*8+79.46</f>
        <v>719.46</v>
      </c>
      <c r="F17" s="6">
        <v>960</v>
      </c>
      <c r="G17" s="7" t="s">
        <v>25</v>
      </c>
      <c r="H17" s="8" t="s">
        <v>26</v>
      </c>
      <c r="I17" s="9" t="s">
        <v>19</v>
      </c>
      <c r="J17" s="5">
        <v>92200000</v>
      </c>
      <c r="K17" s="11" t="s">
        <v>7</v>
      </c>
      <c r="L17" s="5" t="s">
        <v>61</v>
      </c>
    </row>
    <row r="18" spans="1:12" ht="45.75" x14ac:dyDescent="0.25">
      <c r="A18" s="5"/>
      <c r="B18" s="1">
        <v>12</v>
      </c>
      <c r="C18" s="5" t="s">
        <v>49</v>
      </c>
      <c r="D18" s="5" t="s">
        <v>50</v>
      </c>
      <c r="E18" s="40">
        <f>9*120</f>
        <v>1080</v>
      </c>
      <c r="F18" s="6">
        <v>1440</v>
      </c>
      <c r="G18" s="7" t="s">
        <v>25</v>
      </c>
      <c r="H18" s="8" t="s">
        <v>26</v>
      </c>
      <c r="I18" s="9" t="s">
        <v>19</v>
      </c>
      <c r="J18" s="5">
        <v>50700000</v>
      </c>
      <c r="K18" s="11" t="s">
        <v>7</v>
      </c>
      <c r="L18" s="5" t="s">
        <v>68</v>
      </c>
    </row>
    <row r="19" spans="1:12" ht="45.75" x14ac:dyDescent="0.25">
      <c r="A19" s="5"/>
      <c r="B19" s="1">
        <v>13</v>
      </c>
      <c r="C19" s="5" t="s">
        <v>51</v>
      </c>
      <c r="D19" s="5" t="s">
        <v>52</v>
      </c>
      <c r="E19" s="40">
        <f>9*130</f>
        <v>1170</v>
      </c>
      <c r="F19" s="6">
        <v>1560</v>
      </c>
      <c r="G19" s="7" t="s">
        <v>25</v>
      </c>
      <c r="H19" s="8" t="s">
        <v>26</v>
      </c>
      <c r="I19" s="9" t="s">
        <v>19</v>
      </c>
      <c r="J19" s="5">
        <v>98300000</v>
      </c>
      <c r="K19" s="11" t="s">
        <v>7</v>
      </c>
      <c r="L19" s="5" t="s">
        <v>382</v>
      </c>
    </row>
    <row r="20" spans="1:12" ht="90" x14ac:dyDescent="0.25">
      <c r="A20" s="5"/>
      <c r="B20" s="5">
        <v>14</v>
      </c>
      <c r="C20" s="5" t="s">
        <v>47</v>
      </c>
      <c r="D20" s="5" t="s">
        <v>37</v>
      </c>
      <c r="E20" s="40">
        <f>415.75+283.12+295.3+300</f>
        <v>1294.17</v>
      </c>
      <c r="F20" s="6">
        <v>1400</v>
      </c>
      <c r="G20" s="5" t="s">
        <v>25</v>
      </c>
      <c r="H20" s="8" t="s">
        <v>26</v>
      </c>
      <c r="I20" s="9" t="s">
        <v>19</v>
      </c>
      <c r="J20" s="5">
        <v>72400000</v>
      </c>
      <c r="K20" s="13" t="s">
        <v>27</v>
      </c>
      <c r="L20" s="17" t="s">
        <v>72</v>
      </c>
    </row>
    <row r="21" spans="1:12" ht="168.75" x14ac:dyDescent="0.25">
      <c r="A21" s="5"/>
      <c r="B21" s="5">
        <v>15</v>
      </c>
      <c r="C21" s="5" t="s">
        <v>53</v>
      </c>
      <c r="D21" s="5" t="s">
        <v>54</v>
      </c>
      <c r="E21" s="40">
        <f>9*70.8</f>
        <v>637.19999999999993</v>
      </c>
      <c r="F21" s="6">
        <v>900</v>
      </c>
      <c r="G21" s="5" t="s">
        <v>25</v>
      </c>
      <c r="H21" s="5" t="s">
        <v>26</v>
      </c>
      <c r="I21" s="9" t="s">
        <v>19</v>
      </c>
      <c r="J21" s="5">
        <v>64200000</v>
      </c>
      <c r="K21" s="11" t="s">
        <v>28</v>
      </c>
      <c r="L21" s="5" t="s">
        <v>75</v>
      </c>
    </row>
    <row r="22" spans="1:12" ht="22.5" x14ac:dyDescent="0.25">
      <c r="A22" s="5"/>
      <c r="B22" s="1">
        <v>16</v>
      </c>
      <c r="C22" s="5" t="s">
        <v>55</v>
      </c>
      <c r="D22" s="5" t="s">
        <v>56</v>
      </c>
      <c r="E22" s="40">
        <f>516.23+613.48+578.2+715.5+762.87+520.38+735.9+646.72+576.74</f>
        <v>5666.0199999999995</v>
      </c>
      <c r="F22" s="6">
        <v>8340</v>
      </c>
      <c r="G22" s="5" t="s">
        <v>57</v>
      </c>
      <c r="H22" s="5" t="s">
        <v>26</v>
      </c>
      <c r="I22" s="5" t="s">
        <v>8</v>
      </c>
      <c r="J22" s="5">
        <v>9100000</v>
      </c>
      <c r="K22" s="5"/>
      <c r="L22" s="5" t="s">
        <v>73</v>
      </c>
    </row>
    <row r="23" spans="1:12" ht="22.5" x14ac:dyDescent="0.25">
      <c r="A23" s="5"/>
      <c r="B23" s="1">
        <v>17</v>
      </c>
      <c r="C23" s="5" t="s">
        <v>55</v>
      </c>
      <c r="D23" s="5" t="s">
        <v>58</v>
      </c>
      <c r="E23" s="40">
        <f>1636.88+2574.77+2144.81+2254.57+2698.22+2866.01+2499.8+2499.8+2248.54+2785.64</f>
        <v>24209.039999999997</v>
      </c>
      <c r="F23" s="6">
        <v>26640</v>
      </c>
      <c r="G23" s="5" t="s">
        <v>57</v>
      </c>
      <c r="H23" s="5" t="s">
        <v>26</v>
      </c>
      <c r="I23" s="5" t="s">
        <v>8</v>
      </c>
      <c r="J23" s="5">
        <v>9100000</v>
      </c>
      <c r="K23" s="5"/>
      <c r="L23" s="5" t="s">
        <v>74</v>
      </c>
    </row>
    <row r="24" spans="1:12" s="5" customFormat="1" ht="45.75" x14ac:dyDescent="0.25">
      <c r="B24" s="5">
        <v>18</v>
      </c>
      <c r="C24" s="5" t="s">
        <v>40</v>
      </c>
      <c r="D24" s="5" t="s">
        <v>59</v>
      </c>
      <c r="E24" s="40">
        <f>295.95+145+145+145</f>
        <v>730.95</v>
      </c>
      <c r="F24" s="6">
        <v>740.3</v>
      </c>
      <c r="G24" s="5" t="s">
        <v>57</v>
      </c>
      <c r="H24" s="5" t="s">
        <v>60</v>
      </c>
      <c r="I24" s="5" t="s">
        <v>19</v>
      </c>
      <c r="J24" s="5">
        <v>79700000</v>
      </c>
      <c r="K24" s="11" t="s">
        <v>7</v>
      </c>
      <c r="L24" s="5" t="s">
        <v>76</v>
      </c>
    </row>
    <row r="25" spans="1:12" ht="45" x14ac:dyDescent="0.25">
      <c r="A25" s="5"/>
      <c r="B25" s="5">
        <v>19</v>
      </c>
      <c r="C25" s="5" t="s">
        <v>77</v>
      </c>
      <c r="D25" s="5" t="s">
        <v>78</v>
      </c>
      <c r="E25" s="40" t="s">
        <v>363</v>
      </c>
      <c r="F25" s="6">
        <v>15</v>
      </c>
      <c r="G25" s="5" t="s">
        <v>79</v>
      </c>
      <c r="H25" s="5" t="s">
        <v>80</v>
      </c>
      <c r="I25" s="5" t="s">
        <v>19</v>
      </c>
      <c r="J25" s="5">
        <v>92500000</v>
      </c>
      <c r="K25" s="11" t="s">
        <v>3</v>
      </c>
      <c r="L25" s="5" t="s">
        <v>180</v>
      </c>
    </row>
    <row r="26" spans="1:12" ht="45" x14ac:dyDescent="0.25">
      <c r="A26" s="5"/>
      <c r="B26" s="1">
        <v>20</v>
      </c>
      <c r="C26" s="5" t="s">
        <v>81</v>
      </c>
      <c r="D26" s="5" t="s">
        <v>82</v>
      </c>
      <c r="E26" s="40">
        <v>1875</v>
      </c>
      <c r="F26" s="6">
        <v>1875</v>
      </c>
      <c r="G26" s="5" t="s">
        <v>79</v>
      </c>
      <c r="H26" s="5" t="s">
        <v>80</v>
      </c>
      <c r="I26" s="5" t="s">
        <v>19</v>
      </c>
      <c r="J26" s="5">
        <v>63500000</v>
      </c>
      <c r="K26" s="11" t="s">
        <v>3</v>
      </c>
      <c r="L26" s="5" t="s">
        <v>141</v>
      </c>
    </row>
    <row r="27" spans="1:12" ht="45" x14ac:dyDescent="0.25">
      <c r="A27" s="5"/>
      <c r="B27" s="1">
        <v>21</v>
      </c>
      <c r="C27" s="5" t="s">
        <v>83</v>
      </c>
      <c r="D27" s="5" t="s">
        <v>84</v>
      </c>
      <c r="E27" s="40" t="s">
        <v>383</v>
      </c>
      <c r="F27" s="6">
        <v>2824</v>
      </c>
      <c r="G27" s="5" t="s">
        <v>79</v>
      </c>
      <c r="H27" s="5" t="s">
        <v>80</v>
      </c>
      <c r="I27" s="5" t="s">
        <v>19</v>
      </c>
      <c r="J27" s="5">
        <v>55100000</v>
      </c>
      <c r="K27" s="11" t="s">
        <v>3</v>
      </c>
      <c r="L27" s="5" t="s">
        <v>188</v>
      </c>
    </row>
    <row r="28" spans="1:12" ht="45" x14ac:dyDescent="0.25">
      <c r="A28" s="5"/>
      <c r="B28" s="5">
        <v>22</v>
      </c>
      <c r="C28" s="5" t="s">
        <v>85</v>
      </c>
      <c r="D28" s="5" t="s">
        <v>86</v>
      </c>
      <c r="E28" s="40" t="s">
        <v>384</v>
      </c>
      <c r="F28" s="6">
        <v>2300</v>
      </c>
      <c r="G28" s="5" t="s">
        <v>79</v>
      </c>
      <c r="H28" s="5" t="s">
        <v>80</v>
      </c>
      <c r="I28" s="5" t="s">
        <v>19</v>
      </c>
      <c r="J28" s="5">
        <v>60100000</v>
      </c>
      <c r="K28" s="11" t="s">
        <v>3</v>
      </c>
      <c r="L28" s="5" t="s">
        <v>195</v>
      </c>
    </row>
    <row r="29" spans="1:12" ht="45" x14ac:dyDescent="0.25">
      <c r="A29" s="5"/>
      <c r="B29" s="5">
        <v>23</v>
      </c>
      <c r="C29" s="5" t="s">
        <v>87</v>
      </c>
      <c r="D29" s="5" t="s">
        <v>88</v>
      </c>
      <c r="E29" s="40" t="s">
        <v>222</v>
      </c>
      <c r="F29" s="6">
        <v>180</v>
      </c>
      <c r="G29" s="5" t="s">
        <v>79</v>
      </c>
      <c r="H29" s="5" t="s">
        <v>80</v>
      </c>
      <c r="I29" s="5" t="s">
        <v>19</v>
      </c>
      <c r="J29" s="5">
        <v>55300000</v>
      </c>
      <c r="K29" s="11" t="s">
        <v>3</v>
      </c>
      <c r="L29" s="5" t="s">
        <v>199</v>
      </c>
    </row>
    <row r="30" spans="1:12" ht="45" x14ac:dyDescent="0.25">
      <c r="A30" s="5"/>
      <c r="B30" s="1">
        <v>24</v>
      </c>
      <c r="C30" s="5" t="s">
        <v>89</v>
      </c>
      <c r="D30" s="5" t="s">
        <v>84</v>
      </c>
      <c r="E30" s="40" t="s">
        <v>434</v>
      </c>
      <c r="F30" s="6">
        <v>1075</v>
      </c>
      <c r="G30" s="5" t="s">
        <v>79</v>
      </c>
      <c r="H30" s="5" t="s">
        <v>80</v>
      </c>
      <c r="I30" s="5" t="s">
        <v>19</v>
      </c>
      <c r="J30" s="5">
        <v>55100000</v>
      </c>
      <c r="K30" s="11" t="s">
        <v>3</v>
      </c>
      <c r="L30" s="5" t="s">
        <v>182</v>
      </c>
    </row>
    <row r="31" spans="1:12" ht="45" x14ac:dyDescent="0.25">
      <c r="A31" s="5"/>
      <c r="B31" s="1">
        <v>25</v>
      </c>
      <c r="C31" s="5" t="s">
        <v>90</v>
      </c>
      <c r="D31" s="5" t="s">
        <v>88</v>
      </c>
      <c r="E31" s="40" t="s">
        <v>223</v>
      </c>
      <c r="F31" s="6">
        <v>150</v>
      </c>
      <c r="G31" s="5" t="s">
        <v>79</v>
      </c>
      <c r="H31" s="5" t="s">
        <v>80</v>
      </c>
      <c r="I31" s="5" t="s">
        <v>19</v>
      </c>
      <c r="J31" s="5">
        <v>55300000</v>
      </c>
      <c r="K31" s="11" t="s">
        <v>3</v>
      </c>
      <c r="L31" s="5" t="s">
        <v>173</v>
      </c>
    </row>
    <row r="32" spans="1:12" ht="45" x14ac:dyDescent="0.25">
      <c r="A32" s="5"/>
      <c r="B32" s="5">
        <v>26</v>
      </c>
      <c r="C32" s="5" t="s">
        <v>89</v>
      </c>
      <c r="D32" s="5" t="s">
        <v>88</v>
      </c>
      <c r="E32" s="40">
        <v>180</v>
      </c>
      <c r="F32" s="6">
        <v>180</v>
      </c>
      <c r="G32" s="5" t="s">
        <v>79</v>
      </c>
      <c r="H32" s="5" t="s">
        <v>80</v>
      </c>
      <c r="I32" s="5" t="s">
        <v>19</v>
      </c>
      <c r="J32" s="5">
        <v>55300000</v>
      </c>
      <c r="K32" s="11" t="s">
        <v>3</v>
      </c>
      <c r="L32" s="5" t="s">
        <v>181</v>
      </c>
    </row>
    <row r="33" spans="1:12" ht="45" x14ac:dyDescent="0.25">
      <c r="A33" s="5"/>
      <c r="B33" s="5">
        <v>27</v>
      </c>
      <c r="C33" s="5" t="s">
        <v>91</v>
      </c>
      <c r="D33" s="5" t="s">
        <v>88</v>
      </c>
      <c r="E33" s="40">
        <v>314.32</v>
      </c>
      <c r="F33" s="6">
        <v>330</v>
      </c>
      <c r="G33" s="5" t="s">
        <v>79</v>
      </c>
      <c r="H33" s="5" t="s">
        <v>80</v>
      </c>
      <c r="I33" s="5" t="s">
        <v>19</v>
      </c>
      <c r="J33" s="5">
        <v>55300000</v>
      </c>
      <c r="K33" s="11" t="s">
        <v>3</v>
      </c>
      <c r="L33" s="5" t="s">
        <v>186</v>
      </c>
    </row>
    <row r="34" spans="1:12" ht="45" x14ac:dyDescent="0.25">
      <c r="A34" s="5"/>
      <c r="B34" s="1">
        <v>28</v>
      </c>
      <c r="C34" s="5" t="s">
        <v>92</v>
      </c>
      <c r="D34" s="5" t="s">
        <v>84</v>
      </c>
      <c r="E34" s="40" t="s">
        <v>385</v>
      </c>
      <c r="F34" s="6">
        <v>1142.8</v>
      </c>
      <c r="G34" s="5" t="s">
        <v>79</v>
      </c>
      <c r="H34" s="5" t="s">
        <v>80</v>
      </c>
      <c r="I34" s="5" t="s">
        <v>19</v>
      </c>
      <c r="J34" s="5">
        <v>55100000</v>
      </c>
      <c r="K34" s="11" t="s">
        <v>3</v>
      </c>
      <c r="L34" s="5" t="s">
        <v>214</v>
      </c>
    </row>
    <row r="35" spans="1:12" ht="45" x14ac:dyDescent="0.25">
      <c r="A35" s="5"/>
      <c r="B35" s="1">
        <v>29</v>
      </c>
      <c r="C35" s="5" t="s">
        <v>93</v>
      </c>
      <c r="D35" s="5" t="s">
        <v>88</v>
      </c>
      <c r="E35" s="40">
        <v>148.5</v>
      </c>
      <c r="F35" s="6">
        <v>150</v>
      </c>
      <c r="G35" s="5" t="s">
        <v>79</v>
      </c>
      <c r="H35" s="5" t="s">
        <v>80</v>
      </c>
      <c r="I35" s="5" t="s">
        <v>19</v>
      </c>
      <c r="J35" s="5">
        <v>55300000</v>
      </c>
      <c r="K35" s="11" t="s">
        <v>3</v>
      </c>
      <c r="L35" s="5" t="s">
        <v>194</v>
      </c>
    </row>
    <row r="36" spans="1:12" ht="45" x14ac:dyDescent="0.25">
      <c r="A36" s="5"/>
      <c r="B36" s="5">
        <v>31</v>
      </c>
      <c r="C36" s="5" t="s">
        <v>94</v>
      </c>
      <c r="D36" s="5" t="s">
        <v>88</v>
      </c>
      <c r="E36" s="40">
        <f>180</f>
        <v>180</v>
      </c>
      <c r="F36" s="6">
        <v>180</v>
      </c>
      <c r="G36" s="5" t="s">
        <v>79</v>
      </c>
      <c r="H36" s="5" t="s">
        <v>80</v>
      </c>
      <c r="I36" s="5" t="s">
        <v>19</v>
      </c>
      <c r="J36" s="5">
        <v>55300000</v>
      </c>
      <c r="K36" s="11" t="s">
        <v>3</v>
      </c>
      <c r="L36" s="5" t="s">
        <v>179</v>
      </c>
    </row>
    <row r="37" spans="1:12" s="18" customFormat="1" ht="45" x14ac:dyDescent="0.25">
      <c r="A37" s="5"/>
      <c r="B37" s="1">
        <v>32</v>
      </c>
      <c r="C37" s="5" t="s">
        <v>95</v>
      </c>
      <c r="D37" s="5" t="s">
        <v>88</v>
      </c>
      <c r="E37" s="40" t="s">
        <v>224</v>
      </c>
      <c r="F37" s="6">
        <v>150</v>
      </c>
      <c r="G37" s="5" t="s">
        <v>79</v>
      </c>
      <c r="H37" s="5" t="s">
        <v>80</v>
      </c>
      <c r="I37" s="5" t="s">
        <v>19</v>
      </c>
      <c r="J37" s="5">
        <v>55300000</v>
      </c>
      <c r="K37" s="11" t="s">
        <v>3</v>
      </c>
      <c r="L37" s="5" t="s">
        <v>197</v>
      </c>
    </row>
    <row r="38" spans="1:12" ht="45" x14ac:dyDescent="0.25">
      <c r="A38" s="5"/>
      <c r="B38" s="1">
        <v>33</v>
      </c>
      <c r="C38" s="5" t="s">
        <v>95</v>
      </c>
      <c r="D38" s="5" t="s">
        <v>78</v>
      </c>
      <c r="E38" s="40" t="s">
        <v>441</v>
      </c>
      <c r="F38" s="6">
        <v>108</v>
      </c>
      <c r="G38" s="5" t="s">
        <v>79</v>
      </c>
      <c r="H38" s="5" t="s">
        <v>80</v>
      </c>
      <c r="I38" s="5" t="s">
        <v>19</v>
      </c>
      <c r="J38" s="5">
        <v>92500000</v>
      </c>
      <c r="K38" s="11" t="s">
        <v>3</v>
      </c>
      <c r="L38" s="5" t="s">
        <v>196</v>
      </c>
    </row>
    <row r="39" spans="1:12" ht="45" x14ac:dyDescent="0.25">
      <c r="A39" s="5"/>
      <c r="B39" s="5">
        <v>34</v>
      </c>
      <c r="C39" s="5" t="s">
        <v>102</v>
      </c>
      <c r="D39" s="5" t="s">
        <v>103</v>
      </c>
      <c r="E39" s="40">
        <v>2157</v>
      </c>
      <c r="F39" s="6">
        <v>2157</v>
      </c>
      <c r="G39" s="5" t="s">
        <v>79</v>
      </c>
      <c r="H39" s="5" t="s">
        <v>80</v>
      </c>
      <c r="I39" s="5" t="s">
        <v>19</v>
      </c>
      <c r="J39" s="5">
        <v>60400000</v>
      </c>
      <c r="K39" s="11" t="s">
        <v>3</v>
      </c>
      <c r="L39" s="5" t="s">
        <v>187</v>
      </c>
    </row>
    <row r="40" spans="1:12" ht="45" x14ac:dyDescent="0.25">
      <c r="A40" s="5"/>
      <c r="B40" s="5">
        <v>35</v>
      </c>
      <c r="C40" s="5" t="s">
        <v>96</v>
      </c>
      <c r="D40" s="5" t="s">
        <v>97</v>
      </c>
      <c r="E40" s="40">
        <v>500</v>
      </c>
      <c r="F40" s="6">
        <v>500</v>
      </c>
      <c r="G40" s="5" t="s">
        <v>98</v>
      </c>
      <c r="H40" s="5" t="s">
        <v>80</v>
      </c>
      <c r="I40" s="5" t="s">
        <v>19</v>
      </c>
      <c r="J40" s="5">
        <v>55300000</v>
      </c>
      <c r="K40" s="11" t="s">
        <v>3</v>
      </c>
      <c r="L40" s="5" t="s">
        <v>174</v>
      </c>
    </row>
    <row r="41" spans="1:12" ht="90" x14ac:dyDescent="0.25">
      <c r="A41" s="5"/>
      <c r="B41" s="1">
        <v>36</v>
      </c>
      <c r="C41" s="5" t="s">
        <v>104</v>
      </c>
      <c r="D41" s="5" t="s">
        <v>105</v>
      </c>
      <c r="E41" s="40">
        <v>165000</v>
      </c>
      <c r="F41" s="6">
        <v>165000</v>
      </c>
      <c r="G41" s="5" t="s">
        <v>98</v>
      </c>
      <c r="H41" s="5" t="s">
        <v>80</v>
      </c>
      <c r="I41" s="5" t="s">
        <v>19</v>
      </c>
      <c r="J41" s="5">
        <v>92100000</v>
      </c>
      <c r="K41" s="13" t="s">
        <v>99</v>
      </c>
      <c r="L41" s="5" t="s">
        <v>147</v>
      </c>
    </row>
    <row r="42" spans="1:12" ht="45" x14ac:dyDescent="0.25">
      <c r="A42" s="5"/>
      <c r="B42" s="1">
        <v>37</v>
      </c>
      <c r="C42" s="15" t="s">
        <v>106</v>
      </c>
      <c r="D42" s="5" t="s">
        <v>107</v>
      </c>
      <c r="E42" s="40" t="s">
        <v>221</v>
      </c>
      <c r="F42" s="6">
        <v>141.80000000000001</v>
      </c>
      <c r="G42" s="5" t="s">
        <v>108</v>
      </c>
      <c r="H42" s="5" t="s">
        <v>80</v>
      </c>
      <c r="I42" s="5" t="s">
        <v>19</v>
      </c>
      <c r="J42" s="5">
        <v>15500000</v>
      </c>
      <c r="K42" s="13" t="s">
        <v>10</v>
      </c>
      <c r="L42" s="5" t="s">
        <v>152</v>
      </c>
    </row>
    <row r="43" spans="1:12" ht="45" x14ac:dyDescent="0.25">
      <c r="A43" s="5"/>
      <c r="B43" s="5">
        <v>38</v>
      </c>
      <c r="C43" s="5" t="s">
        <v>109</v>
      </c>
      <c r="D43" s="5" t="s">
        <v>101</v>
      </c>
      <c r="E43" s="40" t="s">
        <v>386</v>
      </c>
      <c r="F43" s="6">
        <v>27140</v>
      </c>
      <c r="G43" s="5" t="s">
        <v>108</v>
      </c>
      <c r="H43" s="5" t="s">
        <v>80</v>
      </c>
      <c r="I43" s="5" t="s">
        <v>19</v>
      </c>
      <c r="J43" s="5">
        <v>79900000</v>
      </c>
      <c r="K43" s="11" t="s">
        <v>12</v>
      </c>
      <c r="L43" s="5" t="s">
        <v>140</v>
      </c>
    </row>
    <row r="44" spans="1:12" ht="45" x14ac:dyDescent="0.25">
      <c r="A44" s="5"/>
      <c r="B44" s="5">
        <v>39</v>
      </c>
      <c r="C44" s="5" t="s">
        <v>110</v>
      </c>
      <c r="D44" s="5" t="s">
        <v>78</v>
      </c>
      <c r="E44" s="40">
        <f>40+30+20+50+15+15+5+15+5+35+35+35+45+35+35</f>
        <v>415</v>
      </c>
      <c r="F44" s="6">
        <v>1000</v>
      </c>
      <c r="G44" s="5" t="s">
        <v>108</v>
      </c>
      <c r="H44" s="5" t="s">
        <v>26</v>
      </c>
      <c r="I44" s="5" t="s">
        <v>19</v>
      </c>
      <c r="J44" s="5">
        <v>92500000</v>
      </c>
      <c r="K44" s="11" t="s">
        <v>12</v>
      </c>
      <c r="L44" s="5" t="s">
        <v>138</v>
      </c>
    </row>
    <row r="45" spans="1:12" ht="45" x14ac:dyDescent="0.25">
      <c r="A45" s="5"/>
      <c r="B45" s="1">
        <v>40</v>
      </c>
      <c r="C45" s="5" t="s">
        <v>95</v>
      </c>
      <c r="D45" s="5" t="s">
        <v>78</v>
      </c>
      <c r="E45" s="40">
        <f>315+63+40.5+324+441+288+144+72+63+108</f>
        <v>1858.5</v>
      </c>
      <c r="F45" s="6">
        <v>2000</v>
      </c>
      <c r="G45" s="5" t="s">
        <v>108</v>
      </c>
      <c r="H45" s="5" t="s">
        <v>26</v>
      </c>
      <c r="I45" s="5" t="s">
        <v>19</v>
      </c>
      <c r="J45" s="5">
        <v>92500000</v>
      </c>
      <c r="K45" s="11" t="s">
        <v>12</v>
      </c>
      <c r="L45" s="5" t="s">
        <v>183</v>
      </c>
    </row>
    <row r="46" spans="1:12" ht="45" x14ac:dyDescent="0.25">
      <c r="A46" s="5"/>
      <c r="B46" s="1">
        <v>41</v>
      </c>
      <c r="C46" s="5" t="s">
        <v>111</v>
      </c>
      <c r="D46" s="5" t="s">
        <v>78</v>
      </c>
      <c r="E46" s="40">
        <f>127.5+37.4</f>
        <v>164.9</v>
      </c>
      <c r="F46" s="6">
        <v>700</v>
      </c>
      <c r="G46" s="5" t="s">
        <v>108</v>
      </c>
      <c r="H46" s="5" t="s">
        <v>26</v>
      </c>
      <c r="I46" s="5" t="s">
        <v>19</v>
      </c>
      <c r="J46" s="5">
        <v>92500000</v>
      </c>
      <c r="K46" s="11" t="s">
        <v>12</v>
      </c>
      <c r="L46" s="5" t="s">
        <v>136</v>
      </c>
    </row>
    <row r="47" spans="1:12" ht="45" x14ac:dyDescent="0.25">
      <c r="A47" s="5"/>
      <c r="B47" s="5">
        <v>42</v>
      </c>
      <c r="C47" s="5" t="s">
        <v>77</v>
      </c>
      <c r="D47" s="5" t="s">
        <v>78</v>
      </c>
      <c r="E47" s="40">
        <f>40+10</f>
        <v>50</v>
      </c>
      <c r="F47" s="6">
        <v>1000</v>
      </c>
      <c r="G47" s="5" t="s">
        <v>108</v>
      </c>
      <c r="H47" s="5" t="s">
        <v>26</v>
      </c>
      <c r="I47" s="5" t="s">
        <v>19</v>
      </c>
      <c r="J47" s="5">
        <v>92500000</v>
      </c>
      <c r="K47" s="11" t="s">
        <v>12</v>
      </c>
      <c r="L47" s="5" t="s">
        <v>135</v>
      </c>
    </row>
    <row r="48" spans="1:12" ht="45" x14ac:dyDescent="0.25">
      <c r="A48" s="5"/>
      <c r="B48" s="5">
        <v>43</v>
      </c>
      <c r="C48" s="5" t="s">
        <v>112</v>
      </c>
      <c r="D48" s="5" t="s">
        <v>78</v>
      </c>
      <c r="E48" s="40">
        <f>34+85+80+35+15+3+5+15+5+75+25+5+5+10+60+46+35+48</f>
        <v>586</v>
      </c>
      <c r="F48" s="6">
        <v>1500</v>
      </c>
      <c r="G48" s="5" t="s">
        <v>108</v>
      </c>
      <c r="H48" s="5" t="s">
        <v>26</v>
      </c>
      <c r="I48" s="5" t="s">
        <v>19</v>
      </c>
      <c r="J48" s="5">
        <v>92500000</v>
      </c>
      <c r="K48" s="11" t="s">
        <v>12</v>
      </c>
      <c r="L48" s="5" t="s">
        <v>156</v>
      </c>
    </row>
    <row r="49" spans="1:12" ht="45" x14ac:dyDescent="0.25">
      <c r="A49" s="5"/>
      <c r="B49" s="1">
        <v>44</v>
      </c>
      <c r="C49" s="5" t="s">
        <v>113</v>
      </c>
      <c r="D49" s="5" t="s">
        <v>78</v>
      </c>
      <c r="E49" s="40">
        <f>63+30+120+21+55+165+35+49+105</f>
        <v>643</v>
      </c>
      <c r="F49" s="6">
        <v>1500</v>
      </c>
      <c r="G49" s="5" t="s">
        <v>108</v>
      </c>
      <c r="H49" s="5" t="s">
        <v>26</v>
      </c>
      <c r="I49" s="5" t="s">
        <v>19</v>
      </c>
      <c r="J49" s="5">
        <v>92500000</v>
      </c>
      <c r="K49" s="11" t="s">
        <v>12</v>
      </c>
      <c r="L49" s="5" t="s">
        <v>176</v>
      </c>
    </row>
    <row r="50" spans="1:12" ht="45" x14ac:dyDescent="0.25">
      <c r="A50" s="5"/>
      <c r="B50" s="1">
        <v>45</v>
      </c>
      <c r="C50" s="5" t="s">
        <v>113</v>
      </c>
      <c r="D50" s="5" t="s">
        <v>78</v>
      </c>
      <c r="E50" s="40">
        <f>49+14+18+56+14+28</f>
        <v>179</v>
      </c>
      <c r="F50" s="6">
        <v>3000</v>
      </c>
      <c r="G50" s="5" t="s">
        <v>108</v>
      </c>
      <c r="H50" s="5" t="s">
        <v>26</v>
      </c>
      <c r="I50" s="5" t="s">
        <v>19</v>
      </c>
      <c r="J50" s="5">
        <v>92500000</v>
      </c>
      <c r="K50" s="11" t="s">
        <v>12</v>
      </c>
      <c r="L50" s="5" t="s">
        <v>159</v>
      </c>
    </row>
    <row r="51" spans="1:12" ht="45" x14ac:dyDescent="0.25">
      <c r="A51" s="5"/>
      <c r="B51" s="5">
        <v>46</v>
      </c>
      <c r="C51" s="5" t="s">
        <v>114</v>
      </c>
      <c r="D51" s="5" t="s">
        <v>78</v>
      </c>
      <c r="E51" s="40">
        <f>24+27+18+26+18+20+12+24</f>
        <v>169</v>
      </c>
      <c r="F51" s="6">
        <v>800</v>
      </c>
      <c r="G51" s="5" t="s">
        <v>108</v>
      </c>
      <c r="H51" s="5" t="s">
        <v>26</v>
      </c>
      <c r="I51" s="5" t="s">
        <v>19</v>
      </c>
      <c r="J51" s="5">
        <v>92500000</v>
      </c>
      <c r="K51" s="11" t="s">
        <v>12</v>
      </c>
      <c r="L51" s="5" t="s">
        <v>191</v>
      </c>
    </row>
    <row r="52" spans="1:12" ht="45" x14ac:dyDescent="0.25">
      <c r="A52" s="5"/>
      <c r="B52" s="5">
        <v>47</v>
      </c>
      <c r="C52" s="5" t="s">
        <v>115</v>
      </c>
      <c r="D52" s="5" t="s">
        <v>78</v>
      </c>
      <c r="E52" s="40">
        <f>100+30+30+80+100+20+50+70</f>
        <v>480</v>
      </c>
      <c r="F52" s="6">
        <v>800</v>
      </c>
      <c r="G52" s="5" t="s">
        <v>108</v>
      </c>
      <c r="H52" s="5" t="s">
        <v>26</v>
      </c>
      <c r="I52" s="5" t="s">
        <v>19</v>
      </c>
      <c r="J52" s="5">
        <v>92500000</v>
      </c>
      <c r="K52" s="11" t="s">
        <v>12</v>
      </c>
      <c r="L52" s="5" t="s">
        <v>137</v>
      </c>
    </row>
    <row r="53" spans="1:12" ht="45" x14ac:dyDescent="0.25">
      <c r="A53" s="5"/>
      <c r="B53" s="1">
        <v>48</v>
      </c>
      <c r="C53" s="5" t="s">
        <v>116</v>
      </c>
      <c r="D53" s="5" t="s">
        <v>78</v>
      </c>
      <c r="E53" s="40">
        <f>14 +4</f>
        <v>18</v>
      </c>
      <c r="F53" s="6">
        <v>200</v>
      </c>
      <c r="G53" s="5" t="s">
        <v>108</v>
      </c>
      <c r="H53" s="5" t="s">
        <v>26</v>
      </c>
      <c r="I53" s="5" t="s">
        <v>19</v>
      </c>
      <c r="J53" s="5">
        <v>92500000</v>
      </c>
      <c r="K53" s="11" t="s">
        <v>12</v>
      </c>
      <c r="L53" s="5" t="s">
        <v>192</v>
      </c>
    </row>
    <row r="54" spans="1:12" ht="45" x14ac:dyDescent="0.25">
      <c r="A54" s="5"/>
      <c r="B54" s="1" t="s">
        <v>311</v>
      </c>
      <c r="C54" s="5" t="s">
        <v>312</v>
      </c>
      <c r="D54" s="5" t="s">
        <v>313</v>
      </c>
      <c r="E54" s="38">
        <f>1529.29+3.14+1373.3</f>
        <v>2905.73</v>
      </c>
      <c r="F54" s="6">
        <v>2500</v>
      </c>
      <c r="G54" s="5" t="s">
        <v>334</v>
      </c>
      <c r="H54" s="5" t="s">
        <v>336</v>
      </c>
      <c r="I54" s="5" t="s">
        <v>8</v>
      </c>
      <c r="J54" s="5"/>
      <c r="K54" s="5" t="s">
        <v>337</v>
      </c>
      <c r="L54" s="5" t="s">
        <v>831</v>
      </c>
    </row>
    <row r="55" spans="1:12" ht="45" x14ac:dyDescent="0.25">
      <c r="A55" s="5"/>
      <c r="B55" s="1">
        <v>49</v>
      </c>
      <c r="C55" s="5" t="s">
        <v>117</v>
      </c>
      <c r="D55" s="5" t="s">
        <v>78</v>
      </c>
      <c r="E55" s="40">
        <f>24+64</f>
        <v>88</v>
      </c>
      <c r="F55" s="6">
        <v>500</v>
      </c>
      <c r="G55" s="5" t="s">
        <v>108</v>
      </c>
      <c r="H55" s="5" t="s">
        <v>26</v>
      </c>
      <c r="I55" s="5" t="s">
        <v>19</v>
      </c>
      <c r="J55" s="5">
        <v>92500000</v>
      </c>
      <c r="K55" s="11" t="s">
        <v>12</v>
      </c>
      <c r="L55" s="5" t="s">
        <v>175</v>
      </c>
    </row>
    <row r="56" spans="1:12" ht="45" x14ac:dyDescent="0.25">
      <c r="A56" s="5"/>
      <c r="B56" s="5">
        <v>50</v>
      </c>
      <c r="C56" s="5" t="s">
        <v>118</v>
      </c>
      <c r="D56" s="5" t="s">
        <v>88</v>
      </c>
      <c r="E56" s="40">
        <f>104.45+125.24+805.86+317.29+395.51+120.78+366.3</f>
        <v>2235.4299999999998</v>
      </c>
      <c r="F56" s="6">
        <v>7000</v>
      </c>
      <c r="G56" s="5" t="s">
        <v>108</v>
      </c>
      <c r="H56" s="5" t="s">
        <v>26</v>
      </c>
      <c r="I56" s="5" t="s">
        <v>19</v>
      </c>
      <c r="J56" s="5">
        <v>55300000</v>
      </c>
      <c r="K56" s="11" t="s">
        <v>12</v>
      </c>
      <c r="L56" s="5" t="s">
        <v>154</v>
      </c>
    </row>
    <row r="57" spans="1:12" ht="45" x14ac:dyDescent="0.25">
      <c r="A57" s="5"/>
      <c r="B57" s="5">
        <v>51</v>
      </c>
      <c r="C57" s="5" t="s">
        <v>119</v>
      </c>
      <c r="D57" s="5" t="s">
        <v>88</v>
      </c>
      <c r="E57" s="40">
        <f>108.8+49.3</f>
        <v>158.1</v>
      </c>
      <c r="F57" s="6">
        <v>5000</v>
      </c>
      <c r="G57" s="5" t="s">
        <v>108</v>
      </c>
      <c r="H57" s="5" t="s">
        <v>26</v>
      </c>
      <c r="I57" s="5" t="s">
        <v>19</v>
      </c>
      <c r="J57" s="5">
        <v>55300000</v>
      </c>
      <c r="K57" s="11" t="s">
        <v>12</v>
      </c>
      <c r="L57" s="5" t="s">
        <v>150</v>
      </c>
    </row>
    <row r="58" spans="1:12" ht="45" x14ac:dyDescent="0.25">
      <c r="A58" s="5"/>
      <c r="B58" s="1">
        <v>53</v>
      </c>
      <c r="C58" s="5" t="s">
        <v>87</v>
      </c>
      <c r="D58" s="5" t="s">
        <v>88</v>
      </c>
      <c r="E58" s="40">
        <f>105.93+311.06+175.73+123.26+45.05+384.12+34.65+341.95+191.07+116.33</f>
        <v>1829.15</v>
      </c>
      <c r="F58" s="6">
        <v>5000</v>
      </c>
      <c r="G58" s="5" t="s">
        <v>108</v>
      </c>
      <c r="H58" s="5" t="s">
        <v>26</v>
      </c>
      <c r="I58" s="5" t="s">
        <v>19</v>
      </c>
      <c r="J58" s="5">
        <v>55300000</v>
      </c>
      <c r="K58" s="11" t="s">
        <v>12</v>
      </c>
      <c r="L58" s="5" t="s">
        <v>148</v>
      </c>
    </row>
    <row r="59" spans="1:12" ht="45" x14ac:dyDescent="0.25">
      <c r="A59" s="5"/>
      <c r="B59" s="1">
        <v>56</v>
      </c>
      <c r="C59" s="5" t="s">
        <v>121</v>
      </c>
      <c r="D59" s="5" t="s">
        <v>88</v>
      </c>
      <c r="E59" s="40">
        <f>356.4+950+176.4+165.6+396+118.8+118.8+50.4+198+594</f>
        <v>3124.4000000000005</v>
      </c>
      <c r="F59" s="6">
        <v>6000</v>
      </c>
      <c r="G59" s="5" t="s">
        <v>108</v>
      </c>
      <c r="H59" s="5" t="s">
        <v>26</v>
      </c>
      <c r="I59" s="5" t="s">
        <v>19</v>
      </c>
      <c r="J59" s="5">
        <v>55300000</v>
      </c>
      <c r="K59" s="11" t="s">
        <v>12</v>
      </c>
      <c r="L59" s="5" t="s">
        <v>149</v>
      </c>
    </row>
    <row r="60" spans="1:12" ht="45" x14ac:dyDescent="0.25">
      <c r="A60" s="5"/>
      <c r="B60" s="1">
        <v>57</v>
      </c>
      <c r="C60" s="5" t="s">
        <v>95</v>
      </c>
      <c r="D60" s="5" t="s">
        <v>88</v>
      </c>
      <c r="E60" s="38">
        <f>48.32+355.77+170.98+282.62+340.37+375.95+101.95+166.2+716.32+621.8+113.1+52.57+406.75+120.54+46.2+404.62+178.95+95.05+265.5+140.72+112.04+166.2+157.18</f>
        <v>5439.7</v>
      </c>
      <c r="F60" s="6">
        <v>12000</v>
      </c>
      <c r="G60" s="5" t="s">
        <v>108</v>
      </c>
      <c r="H60" s="5" t="s">
        <v>26</v>
      </c>
      <c r="I60" s="5" t="s">
        <v>19</v>
      </c>
      <c r="J60" s="5">
        <v>55300000</v>
      </c>
      <c r="K60" s="11" t="s">
        <v>12</v>
      </c>
      <c r="L60" s="5" t="s">
        <v>208</v>
      </c>
    </row>
    <row r="61" spans="1:12" ht="45" x14ac:dyDescent="0.25">
      <c r="A61" s="5"/>
      <c r="B61" s="5">
        <v>58</v>
      </c>
      <c r="C61" s="5" t="s">
        <v>122</v>
      </c>
      <c r="D61" s="5" t="s">
        <v>88</v>
      </c>
      <c r="E61" s="40">
        <f>232.83+155.97+166.43</f>
        <v>555.23</v>
      </c>
      <c r="F61" s="6">
        <v>3000</v>
      </c>
      <c r="G61" s="5" t="s">
        <v>108</v>
      </c>
      <c r="H61" s="5" t="s">
        <v>26</v>
      </c>
      <c r="I61" s="5" t="s">
        <v>19</v>
      </c>
      <c r="J61" s="5">
        <v>55300000</v>
      </c>
      <c r="K61" s="11" t="s">
        <v>12</v>
      </c>
      <c r="L61" s="5" t="s">
        <v>204</v>
      </c>
    </row>
    <row r="62" spans="1:12" ht="45" x14ac:dyDescent="0.25">
      <c r="A62" s="5"/>
      <c r="B62" s="1">
        <v>60</v>
      </c>
      <c r="C62" s="5" t="s">
        <v>123</v>
      </c>
      <c r="D62" s="5" t="s">
        <v>88</v>
      </c>
      <c r="E62" s="40">
        <f>58.17+49.89+401.99+160.01+144.18+1540.81+295.7+672.86+359.05</f>
        <v>3682.6600000000003</v>
      </c>
      <c r="F62" s="6">
        <v>10000</v>
      </c>
      <c r="G62" s="5" t="s">
        <v>108</v>
      </c>
      <c r="H62" s="5" t="s">
        <v>26</v>
      </c>
      <c r="I62" s="5" t="s">
        <v>19</v>
      </c>
      <c r="J62" s="5">
        <v>55300000</v>
      </c>
      <c r="K62" s="11" t="s">
        <v>12</v>
      </c>
      <c r="L62" s="5" t="s">
        <v>151</v>
      </c>
    </row>
    <row r="63" spans="1:12" ht="90" x14ac:dyDescent="0.25">
      <c r="A63" s="5"/>
      <c r="B63" s="1">
        <v>61</v>
      </c>
      <c r="C63" s="5" t="s">
        <v>124</v>
      </c>
      <c r="D63" s="5" t="s">
        <v>125</v>
      </c>
      <c r="E63" s="40">
        <f>43733.48+44108.4</f>
        <v>87841.88</v>
      </c>
      <c r="F63" s="6">
        <v>89920.72</v>
      </c>
      <c r="G63" s="5" t="s">
        <v>108</v>
      </c>
      <c r="H63" s="5" t="s">
        <v>80</v>
      </c>
      <c r="I63" s="5" t="s">
        <v>19</v>
      </c>
      <c r="J63" s="5">
        <v>39100000</v>
      </c>
      <c r="K63" s="13" t="s">
        <v>99</v>
      </c>
      <c r="L63" s="5" t="s">
        <v>139</v>
      </c>
    </row>
    <row r="64" spans="1:12" ht="45" x14ac:dyDescent="0.25">
      <c r="A64" s="5"/>
      <c r="B64" s="5">
        <v>62</v>
      </c>
      <c r="C64" s="5" t="s">
        <v>126</v>
      </c>
      <c r="D64" s="5" t="s">
        <v>88</v>
      </c>
      <c r="E64" s="40">
        <f>450+90</f>
        <v>540</v>
      </c>
      <c r="F64" s="6">
        <v>5000</v>
      </c>
      <c r="G64" s="5" t="s">
        <v>108</v>
      </c>
      <c r="H64" s="5" t="s">
        <v>26</v>
      </c>
      <c r="I64" s="5" t="s">
        <v>19</v>
      </c>
      <c r="J64" s="5">
        <v>55300000</v>
      </c>
      <c r="K64" s="11" t="s">
        <v>12</v>
      </c>
      <c r="L64" s="5" t="s">
        <v>153</v>
      </c>
    </row>
    <row r="65" spans="1:12" ht="45" x14ac:dyDescent="0.25">
      <c r="A65" s="5"/>
      <c r="B65" s="5">
        <v>63</v>
      </c>
      <c r="C65" s="5" t="s">
        <v>127</v>
      </c>
      <c r="D65" s="5" t="s">
        <v>88</v>
      </c>
      <c r="E65" s="38">
        <f>139.1+101.57+163.75+349.37+205.42</f>
        <v>959.20999999999992</v>
      </c>
      <c r="F65" s="6">
        <v>7000</v>
      </c>
      <c r="G65" s="5" t="s">
        <v>108</v>
      </c>
      <c r="H65" s="5" t="s">
        <v>26</v>
      </c>
      <c r="I65" s="5" t="s">
        <v>19</v>
      </c>
      <c r="J65" s="5">
        <v>55300000</v>
      </c>
      <c r="K65" s="11" t="s">
        <v>12</v>
      </c>
      <c r="L65" s="5" t="s">
        <v>155</v>
      </c>
    </row>
    <row r="66" spans="1:12" ht="45" x14ac:dyDescent="0.25">
      <c r="A66" s="5"/>
      <c r="B66" s="1">
        <v>64</v>
      </c>
      <c r="C66" s="5" t="s">
        <v>128</v>
      </c>
      <c r="D66" s="5" t="s">
        <v>88</v>
      </c>
      <c r="E66" s="40">
        <f>147.51+300.15+53+140.58+41.58+139.72+193.55+110.4</f>
        <v>1126.4900000000002</v>
      </c>
      <c r="F66" s="6">
        <v>2000</v>
      </c>
      <c r="G66" s="5" t="s">
        <v>129</v>
      </c>
      <c r="H66" s="5" t="s">
        <v>26</v>
      </c>
      <c r="I66" s="5" t="s">
        <v>19</v>
      </c>
      <c r="J66" s="5">
        <v>55300000</v>
      </c>
      <c r="K66" s="11" t="s">
        <v>12</v>
      </c>
      <c r="L66" s="5" t="s">
        <v>285</v>
      </c>
    </row>
    <row r="67" spans="1:12" ht="45" x14ac:dyDescent="0.25">
      <c r="A67" s="5"/>
      <c r="B67" s="1">
        <v>65</v>
      </c>
      <c r="C67" s="5" t="s">
        <v>94</v>
      </c>
      <c r="D67" s="5" t="s">
        <v>88</v>
      </c>
      <c r="E67" s="40">
        <f>48.51+128.2+499.95+194.04+365.31+491.04+167.8+359.37+398.48+599.26+148.01+194.58+959.44+150.08+227.7</f>
        <v>4931.7699999999995</v>
      </c>
      <c r="F67" s="6">
        <v>5000</v>
      </c>
      <c r="G67" s="5" t="s">
        <v>129</v>
      </c>
      <c r="H67" s="5" t="s">
        <v>26</v>
      </c>
      <c r="I67" s="5" t="s">
        <v>19</v>
      </c>
      <c r="J67" s="5">
        <v>55300000</v>
      </c>
      <c r="K67" s="11" t="s">
        <v>12</v>
      </c>
      <c r="L67" s="5" t="s">
        <v>209</v>
      </c>
    </row>
    <row r="68" spans="1:12" ht="45" x14ac:dyDescent="0.25">
      <c r="A68" s="5"/>
      <c r="B68" s="5">
        <v>66</v>
      </c>
      <c r="C68" s="5" t="s">
        <v>120</v>
      </c>
      <c r="D68" s="5" t="s">
        <v>84</v>
      </c>
      <c r="E68" s="40" t="s">
        <v>289</v>
      </c>
      <c r="F68" s="6">
        <v>295</v>
      </c>
      <c r="G68" s="5" t="s">
        <v>129</v>
      </c>
      <c r="H68" s="5" t="s">
        <v>26</v>
      </c>
      <c r="I68" s="5" t="s">
        <v>19</v>
      </c>
      <c r="J68" s="5">
        <v>55100000</v>
      </c>
      <c r="K68" s="11" t="s">
        <v>12</v>
      </c>
      <c r="L68" s="5" t="s">
        <v>213</v>
      </c>
    </row>
    <row r="69" spans="1:12" ht="45" x14ac:dyDescent="0.25">
      <c r="A69" s="5"/>
      <c r="B69" s="5">
        <v>67</v>
      </c>
      <c r="C69" s="5" t="s">
        <v>130</v>
      </c>
      <c r="D69" s="5" t="s">
        <v>82</v>
      </c>
      <c r="E69" s="40" t="s">
        <v>288</v>
      </c>
      <c r="F69" s="6">
        <v>705</v>
      </c>
      <c r="G69" s="5" t="s">
        <v>129</v>
      </c>
      <c r="H69" s="5" t="s">
        <v>80</v>
      </c>
      <c r="I69" s="5" t="s">
        <v>19</v>
      </c>
      <c r="J69" s="5">
        <v>63500000</v>
      </c>
      <c r="K69" s="11" t="s">
        <v>12</v>
      </c>
      <c r="L69" s="5" t="s">
        <v>212</v>
      </c>
    </row>
    <row r="70" spans="1:12" ht="45" x14ac:dyDescent="0.25">
      <c r="A70" s="5"/>
      <c r="B70" s="1">
        <v>68</v>
      </c>
      <c r="C70" s="5" t="s">
        <v>131</v>
      </c>
      <c r="D70" s="5" t="s">
        <v>84</v>
      </c>
      <c r="E70" s="40" t="s">
        <v>290</v>
      </c>
      <c r="F70" s="6">
        <v>630</v>
      </c>
      <c r="G70" s="5" t="s">
        <v>129</v>
      </c>
      <c r="H70" s="5" t="s">
        <v>26</v>
      </c>
      <c r="I70" s="5" t="s">
        <v>19</v>
      </c>
      <c r="J70" s="5">
        <v>55100000</v>
      </c>
      <c r="K70" s="11" t="s">
        <v>12</v>
      </c>
      <c r="L70" s="5" t="s">
        <v>226</v>
      </c>
    </row>
    <row r="71" spans="1:12" ht="45" x14ac:dyDescent="0.25">
      <c r="A71" s="5"/>
      <c r="B71" s="1">
        <v>69</v>
      </c>
      <c r="C71" s="5" t="s">
        <v>85</v>
      </c>
      <c r="D71" s="5" t="s">
        <v>86</v>
      </c>
      <c r="E71" s="40">
        <v>1200</v>
      </c>
      <c r="F71" s="6">
        <v>1200</v>
      </c>
      <c r="G71" s="5" t="s">
        <v>129</v>
      </c>
      <c r="H71" s="5" t="s">
        <v>26</v>
      </c>
      <c r="I71" s="5" t="s">
        <v>19</v>
      </c>
      <c r="J71" s="5">
        <v>60100000</v>
      </c>
      <c r="K71" s="11" t="s">
        <v>12</v>
      </c>
      <c r="L71" s="5" t="s">
        <v>200</v>
      </c>
    </row>
    <row r="72" spans="1:12" ht="45" x14ac:dyDescent="0.25">
      <c r="A72" s="5"/>
      <c r="B72" s="5">
        <v>70</v>
      </c>
      <c r="C72" s="5" t="s">
        <v>91</v>
      </c>
      <c r="D72" s="5" t="s">
        <v>88</v>
      </c>
      <c r="E72" s="40">
        <f>475.2+90.09+473.22+393.03+148.9+356.89+522.72+99.94+284.03 +1266.7+37.62+142.56+95.04+172.75+97.51+510.05+576.53+26.23+50+489.06+1967.78+37.62+1495.89+76.92+1088.01+365.11+864.76+96.52+54.94+893.96+344.03+323.64+378.67+113.06+166.32+178.6+219.68+46.53+209.48+151.37+107.61+173.15+59.4+227.8+144.14+267.3+169.29+47.72+58.9+81.18+128.01+151.07</f>
        <v>16996.530000000002</v>
      </c>
      <c r="F72" s="6">
        <v>50000</v>
      </c>
      <c r="G72" s="5" t="s">
        <v>129</v>
      </c>
      <c r="H72" s="5" t="s">
        <v>26</v>
      </c>
      <c r="I72" s="5" t="s">
        <v>19</v>
      </c>
      <c r="J72" s="5">
        <v>55300000</v>
      </c>
      <c r="K72" s="11" t="s">
        <v>12</v>
      </c>
      <c r="L72" s="5" t="s">
        <v>211</v>
      </c>
    </row>
    <row r="73" spans="1:12" ht="45" x14ac:dyDescent="0.25">
      <c r="A73" s="5"/>
      <c r="B73" s="5">
        <v>71</v>
      </c>
      <c r="C73" s="5" t="s">
        <v>93</v>
      </c>
      <c r="D73" s="5" t="s">
        <v>88</v>
      </c>
      <c r="E73" s="40">
        <f>186.89</f>
        <v>186.89</v>
      </c>
      <c r="F73" s="6">
        <v>3000</v>
      </c>
      <c r="G73" s="5" t="s">
        <v>129</v>
      </c>
      <c r="H73" s="5" t="s">
        <v>26</v>
      </c>
      <c r="I73" s="5" t="s">
        <v>19</v>
      </c>
      <c r="J73" s="5">
        <v>55300000</v>
      </c>
      <c r="K73" s="11" t="s">
        <v>12</v>
      </c>
      <c r="L73" s="5" t="s">
        <v>202</v>
      </c>
    </row>
    <row r="74" spans="1:12" ht="45" x14ac:dyDescent="0.25">
      <c r="A74" s="5"/>
      <c r="B74" s="1">
        <v>72</v>
      </c>
      <c r="C74" s="5" t="s">
        <v>132</v>
      </c>
      <c r="D74" s="5" t="s">
        <v>88</v>
      </c>
      <c r="E74" s="40">
        <f>400+50+100+50+600+50+50+120+400+100+500</f>
        <v>2420</v>
      </c>
      <c r="F74" s="6">
        <v>10000</v>
      </c>
      <c r="G74" s="5" t="s">
        <v>129</v>
      </c>
      <c r="H74" s="5" t="s">
        <v>26</v>
      </c>
      <c r="I74" s="5" t="s">
        <v>19</v>
      </c>
      <c r="J74" s="5">
        <v>55300000</v>
      </c>
      <c r="K74" s="11" t="s">
        <v>12</v>
      </c>
      <c r="L74" s="5" t="s">
        <v>201</v>
      </c>
    </row>
    <row r="75" spans="1:12" ht="45" x14ac:dyDescent="0.25">
      <c r="A75" s="5"/>
      <c r="B75" s="1">
        <v>73</v>
      </c>
      <c r="C75" s="5" t="s">
        <v>133</v>
      </c>
      <c r="D75" s="5" t="s">
        <v>88</v>
      </c>
      <c r="E75" s="40">
        <f>500+400+120+900+270+100+200+350</f>
        <v>2840</v>
      </c>
      <c r="F75" s="6">
        <v>7000</v>
      </c>
      <c r="G75" s="5" t="s">
        <v>129</v>
      </c>
      <c r="H75" s="5" t="s">
        <v>26</v>
      </c>
      <c r="I75" s="5" t="s">
        <v>19</v>
      </c>
      <c r="J75" s="5">
        <v>55300000</v>
      </c>
      <c r="K75" s="11" t="s">
        <v>12</v>
      </c>
      <c r="L75" s="5" t="s">
        <v>203</v>
      </c>
    </row>
    <row r="76" spans="1:12" s="18" customFormat="1" ht="45" x14ac:dyDescent="0.25">
      <c r="A76" s="5"/>
      <c r="B76" s="5">
        <v>74</v>
      </c>
      <c r="C76" s="5" t="s">
        <v>134</v>
      </c>
      <c r="D76" s="5" t="s">
        <v>88</v>
      </c>
      <c r="E76" s="40">
        <f>116.6+147.4+56.1+113.3+462.56</f>
        <v>895.96</v>
      </c>
      <c r="F76" s="6">
        <v>1000</v>
      </c>
      <c r="G76" s="5" t="s">
        <v>129</v>
      </c>
      <c r="H76" s="5" t="s">
        <v>26</v>
      </c>
      <c r="I76" s="5" t="s">
        <v>19</v>
      </c>
      <c r="J76" s="5">
        <v>55300000</v>
      </c>
      <c r="K76" s="11" t="s">
        <v>12</v>
      </c>
      <c r="L76" s="5" t="s">
        <v>206</v>
      </c>
    </row>
    <row r="77" spans="1:12" ht="45" x14ac:dyDescent="0.25">
      <c r="A77" s="5"/>
      <c r="B77" s="1">
        <v>76</v>
      </c>
      <c r="C77" s="5" t="s">
        <v>142</v>
      </c>
      <c r="D77" s="5" t="s">
        <v>88</v>
      </c>
      <c r="E77" s="40">
        <f>84.84+105.24+395.6+177.12+50.7</f>
        <v>813.50000000000011</v>
      </c>
      <c r="F77" s="6">
        <v>5000</v>
      </c>
      <c r="G77" s="5" t="s">
        <v>129</v>
      </c>
      <c r="H77" s="5" t="s">
        <v>26</v>
      </c>
      <c r="I77" s="5" t="s">
        <v>19</v>
      </c>
      <c r="J77" s="5">
        <v>55300000</v>
      </c>
      <c r="K77" s="11" t="s">
        <v>12</v>
      </c>
      <c r="L77" s="5" t="s">
        <v>210</v>
      </c>
    </row>
    <row r="78" spans="1:12" ht="45" x14ac:dyDescent="0.25">
      <c r="A78" s="5"/>
      <c r="B78" s="1">
        <v>77</v>
      </c>
      <c r="C78" s="5" t="s">
        <v>143</v>
      </c>
      <c r="D78" s="5" t="s">
        <v>88</v>
      </c>
      <c r="E78" s="40">
        <f>451+440+700+150+160+277.2</f>
        <v>2178.1999999999998</v>
      </c>
      <c r="F78" s="6">
        <v>5000</v>
      </c>
      <c r="G78" s="5" t="s">
        <v>129</v>
      </c>
      <c r="H78" s="5" t="s">
        <v>26</v>
      </c>
      <c r="I78" s="5" t="s">
        <v>19</v>
      </c>
      <c r="J78" s="5">
        <v>55300000</v>
      </c>
      <c r="K78" s="11" t="s">
        <v>12</v>
      </c>
      <c r="L78" s="19" t="s">
        <v>220</v>
      </c>
    </row>
    <row r="79" spans="1:12" ht="45" x14ac:dyDescent="0.25">
      <c r="A79" s="5"/>
      <c r="B79" s="5">
        <v>78</v>
      </c>
      <c r="C79" s="5" t="s">
        <v>144</v>
      </c>
      <c r="D79" s="5" t="s">
        <v>88</v>
      </c>
      <c r="E79" s="40">
        <f>465.3+92.4+399.85+744.7+49.5+375.1+974.6+160.05+278.85</f>
        <v>3540.35</v>
      </c>
      <c r="F79" s="6">
        <v>5000</v>
      </c>
      <c r="G79" s="5" t="s">
        <v>129</v>
      </c>
      <c r="H79" s="5" t="s">
        <v>26</v>
      </c>
      <c r="I79" s="5" t="s">
        <v>19</v>
      </c>
      <c r="J79" s="5">
        <v>55300000</v>
      </c>
      <c r="K79" s="11" t="s">
        <v>12</v>
      </c>
      <c r="L79" s="5" t="s">
        <v>205</v>
      </c>
    </row>
    <row r="80" spans="1:12" ht="45" x14ac:dyDescent="0.25">
      <c r="A80" s="5"/>
      <c r="B80" s="5">
        <v>79</v>
      </c>
      <c r="C80" s="5" t="s">
        <v>145</v>
      </c>
      <c r="D80" s="5" t="s">
        <v>88</v>
      </c>
      <c r="E80" s="40">
        <f>119.9+167.2+409.2+124.85+81.4+100+385.33+330.55</f>
        <v>1718.4299999999998</v>
      </c>
      <c r="F80" s="6">
        <v>5000</v>
      </c>
      <c r="G80" s="5" t="s">
        <v>129</v>
      </c>
      <c r="H80" s="5" t="s">
        <v>26</v>
      </c>
      <c r="I80" s="5" t="s">
        <v>19</v>
      </c>
      <c r="J80" s="5">
        <v>55300000</v>
      </c>
      <c r="K80" s="11" t="s">
        <v>12</v>
      </c>
      <c r="L80" s="5" t="s">
        <v>227</v>
      </c>
    </row>
    <row r="81" spans="1:12" ht="45" x14ac:dyDescent="0.25">
      <c r="A81" s="5"/>
      <c r="B81" s="1">
        <v>80</v>
      </c>
      <c r="C81" s="5" t="s">
        <v>146</v>
      </c>
      <c r="D81" s="5" t="s">
        <v>88</v>
      </c>
      <c r="E81" s="40">
        <f>150+50+50+99</f>
        <v>349</v>
      </c>
      <c r="F81" s="6">
        <v>7000</v>
      </c>
      <c r="G81" s="5" t="s">
        <v>129</v>
      </c>
      <c r="H81" s="5" t="s">
        <v>26</v>
      </c>
      <c r="I81" s="5" t="s">
        <v>19</v>
      </c>
      <c r="J81" s="5">
        <v>55300000</v>
      </c>
      <c r="K81" s="11" t="s">
        <v>12</v>
      </c>
      <c r="L81" s="5" t="s">
        <v>207</v>
      </c>
    </row>
    <row r="82" spans="1:12" ht="45.75" x14ac:dyDescent="0.25">
      <c r="A82" s="5"/>
      <c r="B82" s="1">
        <v>81</v>
      </c>
      <c r="C82" s="5" t="s">
        <v>157</v>
      </c>
      <c r="D82" s="5" t="s">
        <v>160</v>
      </c>
      <c r="E82" s="40">
        <f>1490+3500</f>
        <v>4990</v>
      </c>
      <c r="F82" s="6">
        <v>4990</v>
      </c>
      <c r="G82" s="5" t="s">
        <v>158</v>
      </c>
      <c r="H82" s="5" t="s">
        <v>80</v>
      </c>
      <c r="I82" s="5" t="s">
        <v>19</v>
      </c>
      <c r="J82" s="5">
        <v>18200000</v>
      </c>
      <c r="K82" s="11" t="s">
        <v>7</v>
      </c>
      <c r="L82" s="5" t="s">
        <v>218</v>
      </c>
    </row>
    <row r="83" spans="1:12" ht="45" x14ac:dyDescent="0.25">
      <c r="A83" s="5"/>
      <c r="B83" s="5">
        <v>82</v>
      </c>
      <c r="C83" s="5" t="s">
        <v>161</v>
      </c>
      <c r="D83" s="5" t="s">
        <v>88</v>
      </c>
      <c r="E83" s="40">
        <f>119+200+643</f>
        <v>962</v>
      </c>
      <c r="F83" s="6">
        <v>3000</v>
      </c>
      <c r="G83" s="5" t="s">
        <v>162</v>
      </c>
      <c r="H83" s="5" t="s">
        <v>26</v>
      </c>
      <c r="I83" s="5" t="s">
        <v>19</v>
      </c>
      <c r="J83" s="5">
        <v>55300000</v>
      </c>
      <c r="K83" s="11" t="s">
        <v>12</v>
      </c>
      <c r="L83" s="5" t="s">
        <v>228</v>
      </c>
    </row>
    <row r="84" spans="1:12" ht="45" x14ac:dyDescent="0.25">
      <c r="A84" s="5"/>
      <c r="B84" s="5">
        <v>83</v>
      </c>
      <c r="C84" s="5" t="s">
        <v>161</v>
      </c>
      <c r="D84" s="5" t="s">
        <v>84</v>
      </c>
      <c r="E84" s="40">
        <f>690+1140+396+1200</f>
        <v>3426</v>
      </c>
      <c r="F84" s="6">
        <v>10000</v>
      </c>
      <c r="G84" s="5" t="s">
        <v>162</v>
      </c>
      <c r="H84" s="5" t="s">
        <v>26</v>
      </c>
      <c r="I84" s="5" t="s">
        <v>19</v>
      </c>
      <c r="J84" s="5">
        <v>55100000</v>
      </c>
      <c r="K84" s="11" t="s">
        <v>12</v>
      </c>
      <c r="L84" s="5" t="s">
        <v>229</v>
      </c>
    </row>
    <row r="85" spans="1:12" ht="45" x14ac:dyDescent="0.25">
      <c r="A85" s="5"/>
      <c r="B85" s="1">
        <v>84</v>
      </c>
      <c r="C85" s="5" t="s">
        <v>163</v>
      </c>
      <c r="D85" s="5" t="s">
        <v>84</v>
      </c>
      <c r="E85" s="40">
        <f>223.2+329.04+779.8+1575.64+287.68+2336.29+575.36+479.4+223.2+956.76+1278.4+198+1078+594.8</f>
        <v>10915.569999999998</v>
      </c>
      <c r="F85" s="6">
        <v>30000</v>
      </c>
      <c r="G85" s="5" t="s">
        <v>162</v>
      </c>
      <c r="H85" s="5" t="s">
        <v>26</v>
      </c>
      <c r="I85" s="5" t="s">
        <v>19</v>
      </c>
      <c r="J85" s="5">
        <v>55100000</v>
      </c>
      <c r="K85" s="11" t="s">
        <v>12</v>
      </c>
      <c r="L85" s="5" t="s">
        <v>185</v>
      </c>
    </row>
    <row r="86" spans="1:12" ht="45" x14ac:dyDescent="0.25">
      <c r="A86" s="5"/>
      <c r="B86" s="1">
        <v>85</v>
      </c>
      <c r="C86" s="5" t="s">
        <v>164</v>
      </c>
      <c r="D86" s="5" t="s">
        <v>84</v>
      </c>
      <c r="E86" s="40">
        <f>1000+1200+2000+350+3990+2380+3080</f>
        <v>14000</v>
      </c>
      <c r="F86" s="6">
        <v>30000</v>
      </c>
      <c r="G86" s="5" t="s">
        <v>162</v>
      </c>
      <c r="H86" s="5" t="s">
        <v>26</v>
      </c>
      <c r="I86" s="5" t="s">
        <v>19</v>
      </c>
      <c r="J86" s="5">
        <v>55100000</v>
      </c>
      <c r="K86" s="11" t="s">
        <v>12</v>
      </c>
      <c r="L86" s="5" t="s">
        <v>198</v>
      </c>
    </row>
    <row r="87" spans="1:12" ht="45" x14ac:dyDescent="0.25">
      <c r="A87" s="5"/>
      <c r="B87" s="5">
        <v>86</v>
      </c>
      <c r="C87" s="5" t="s">
        <v>164</v>
      </c>
      <c r="D87" s="5" t="s">
        <v>88</v>
      </c>
      <c r="E87" s="40">
        <f>500+297+976.8</f>
        <v>1773.8</v>
      </c>
      <c r="F87" s="6">
        <v>2000</v>
      </c>
      <c r="G87" s="5" t="s">
        <v>162</v>
      </c>
      <c r="H87" s="5" t="s">
        <v>26</v>
      </c>
      <c r="I87" s="5" t="s">
        <v>19</v>
      </c>
      <c r="J87" s="5">
        <v>55300000</v>
      </c>
      <c r="K87" s="11" t="s">
        <v>12</v>
      </c>
      <c r="L87" s="5" t="s">
        <v>230</v>
      </c>
    </row>
    <row r="88" spans="1:12" ht="45" x14ac:dyDescent="0.25">
      <c r="A88" s="5"/>
      <c r="B88" s="5">
        <v>87</v>
      </c>
      <c r="C88" s="5" t="s">
        <v>89</v>
      </c>
      <c r="D88" s="5" t="s">
        <v>84</v>
      </c>
      <c r="E88" s="40">
        <f>675.76+560</f>
        <v>1235.76</v>
      </c>
      <c r="F88" s="6">
        <v>10000</v>
      </c>
      <c r="G88" s="5" t="s">
        <v>162</v>
      </c>
      <c r="H88" s="5" t="s">
        <v>26</v>
      </c>
      <c r="I88" s="5" t="s">
        <v>19</v>
      </c>
      <c r="J88" s="5">
        <v>55100000</v>
      </c>
      <c r="K88" s="11" t="s">
        <v>12</v>
      </c>
      <c r="L88" s="5" t="s">
        <v>178</v>
      </c>
    </row>
    <row r="89" spans="1:12" ht="45" x14ac:dyDescent="0.25">
      <c r="A89" s="5"/>
      <c r="B89" s="1">
        <v>88</v>
      </c>
      <c r="C89" s="5" t="s">
        <v>89</v>
      </c>
      <c r="D89" s="5" t="s">
        <v>88</v>
      </c>
      <c r="E89" s="40">
        <f>299+400 +50+290+605</f>
        <v>1644</v>
      </c>
      <c r="F89" s="6">
        <v>3000</v>
      </c>
      <c r="G89" s="5" t="s">
        <v>162</v>
      </c>
      <c r="H89" s="5" t="s">
        <v>26</v>
      </c>
      <c r="I89" s="5" t="s">
        <v>19</v>
      </c>
      <c r="J89" s="5">
        <v>55300000</v>
      </c>
      <c r="K89" s="11" t="s">
        <v>12</v>
      </c>
      <c r="L89" s="5" t="s">
        <v>177</v>
      </c>
    </row>
    <row r="90" spans="1:12" ht="45" x14ac:dyDescent="0.25">
      <c r="A90" s="5"/>
      <c r="B90" s="1">
        <v>89</v>
      </c>
      <c r="C90" s="5" t="s">
        <v>90</v>
      </c>
      <c r="D90" s="5" t="s">
        <v>88</v>
      </c>
      <c r="E90" s="40">
        <f>120.45+142.67+48.73+162.36+98.8+302.34+92.25+49.75+48.4+43.7+336.44+78.98+156.2+44.11+48.73</f>
        <v>1773.91</v>
      </c>
      <c r="F90" s="6">
        <v>2000</v>
      </c>
      <c r="G90" s="5" t="s">
        <v>162</v>
      </c>
      <c r="H90" s="5" t="s">
        <v>26</v>
      </c>
      <c r="I90" s="5" t="s">
        <v>19</v>
      </c>
      <c r="J90" s="5">
        <v>55300000</v>
      </c>
      <c r="K90" s="11" t="s">
        <v>12</v>
      </c>
      <c r="L90" s="5" t="s">
        <v>231</v>
      </c>
    </row>
    <row r="91" spans="1:12" ht="45" x14ac:dyDescent="0.25">
      <c r="A91" s="5"/>
      <c r="B91" s="5">
        <v>90</v>
      </c>
      <c r="C91" s="5" t="s">
        <v>165</v>
      </c>
      <c r="D91" s="5" t="s">
        <v>88</v>
      </c>
      <c r="E91" s="40">
        <f>113.85+376.31</f>
        <v>490.15999999999997</v>
      </c>
      <c r="F91" s="6">
        <v>2000</v>
      </c>
      <c r="G91" s="5" t="s">
        <v>162</v>
      </c>
      <c r="H91" s="5" t="s">
        <v>26</v>
      </c>
      <c r="I91" s="5" t="s">
        <v>19</v>
      </c>
      <c r="J91" s="5">
        <v>55300000</v>
      </c>
      <c r="K91" s="11" t="s">
        <v>12</v>
      </c>
      <c r="L91" s="5" t="s">
        <v>232</v>
      </c>
    </row>
    <row r="92" spans="1:12" ht="45" x14ac:dyDescent="0.25">
      <c r="A92" s="5"/>
      <c r="B92" s="5">
        <v>91</v>
      </c>
      <c r="C92" s="5" t="s">
        <v>131</v>
      </c>
      <c r="D92" s="5" t="s">
        <v>84</v>
      </c>
      <c r="E92" s="40" t="s">
        <v>387</v>
      </c>
      <c r="F92" s="6">
        <v>1008.9</v>
      </c>
      <c r="G92" s="5" t="s">
        <v>162</v>
      </c>
      <c r="H92" s="5" t="s">
        <v>80</v>
      </c>
      <c r="I92" s="5" t="s">
        <v>19</v>
      </c>
      <c r="J92" s="5">
        <v>55100000</v>
      </c>
      <c r="K92" s="11" t="s">
        <v>12</v>
      </c>
      <c r="L92" s="5" t="s">
        <v>184</v>
      </c>
    </row>
    <row r="93" spans="1:12" ht="45" x14ac:dyDescent="0.25">
      <c r="A93" s="5"/>
      <c r="B93" s="1">
        <v>92</v>
      </c>
      <c r="C93" s="5" t="s">
        <v>166</v>
      </c>
      <c r="D93" s="5" t="s">
        <v>86</v>
      </c>
      <c r="E93" s="40">
        <v>1080</v>
      </c>
      <c r="F93" s="6">
        <v>1080</v>
      </c>
      <c r="G93" s="5" t="s">
        <v>162</v>
      </c>
      <c r="H93" s="5" t="s">
        <v>80</v>
      </c>
      <c r="I93" s="5" t="s">
        <v>19</v>
      </c>
      <c r="J93" s="5">
        <v>60100000</v>
      </c>
      <c r="K93" s="11" t="s">
        <v>12</v>
      </c>
      <c r="L93" s="5" t="s">
        <v>233</v>
      </c>
    </row>
    <row r="94" spans="1:12" ht="45" x14ac:dyDescent="0.25">
      <c r="A94" s="5"/>
      <c r="B94" s="1">
        <v>93</v>
      </c>
      <c r="C94" s="5" t="s">
        <v>167</v>
      </c>
      <c r="D94" s="5" t="s">
        <v>82</v>
      </c>
      <c r="E94" s="40">
        <v>1025</v>
      </c>
      <c r="F94" s="6">
        <v>1025</v>
      </c>
      <c r="G94" s="5" t="s">
        <v>162</v>
      </c>
      <c r="H94" s="5" t="s">
        <v>80</v>
      </c>
      <c r="I94" s="5" t="s">
        <v>19</v>
      </c>
      <c r="J94" s="5">
        <v>63500000</v>
      </c>
      <c r="K94" s="11" t="s">
        <v>12</v>
      </c>
      <c r="L94" s="5" t="s">
        <v>234</v>
      </c>
    </row>
    <row r="95" spans="1:12" ht="45.75" x14ac:dyDescent="0.25">
      <c r="A95" s="5"/>
      <c r="B95" s="5">
        <v>94</v>
      </c>
      <c r="C95" s="5" t="s">
        <v>168</v>
      </c>
      <c r="D95" s="5" t="s">
        <v>169</v>
      </c>
      <c r="E95" s="38">
        <f>10*5</f>
        <v>50</v>
      </c>
      <c r="F95" s="6">
        <v>120</v>
      </c>
      <c r="G95" s="5" t="s">
        <v>162</v>
      </c>
      <c r="H95" s="5" t="s">
        <v>26</v>
      </c>
      <c r="I95" s="5" t="s">
        <v>19</v>
      </c>
      <c r="J95" s="5">
        <v>42900000</v>
      </c>
      <c r="K95" s="11" t="s">
        <v>7</v>
      </c>
      <c r="L95" s="5" t="s">
        <v>235</v>
      </c>
    </row>
    <row r="96" spans="1:12" ht="45.75" x14ac:dyDescent="0.25">
      <c r="A96" s="5"/>
      <c r="B96" s="5">
        <v>95</v>
      </c>
      <c r="C96" s="5" t="s">
        <v>168</v>
      </c>
      <c r="D96" s="5" t="s">
        <v>170</v>
      </c>
      <c r="E96" s="38">
        <f>20*2</f>
        <v>40</v>
      </c>
      <c r="F96" s="6">
        <v>80</v>
      </c>
      <c r="G96" s="5" t="s">
        <v>162</v>
      </c>
      <c r="H96" s="5" t="s">
        <v>26</v>
      </c>
      <c r="I96" s="5" t="s">
        <v>19</v>
      </c>
      <c r="J96" s="5">
        <v>42900000</v>
      </c>
      <c r="K96" s="11" t="s">
        <v>7</v>
      </c>
      <c r="L96" s="5" t="s">
        <v>236</v>
      </c>
    </row>
    <row r="97" spans="1:12" ht="45.75" x14ac:dyDescent="0.25">
      <c r="A97" s="5"/>
      <c r="B97" s="1">
        <v>96</v>
      </c>
      <c r="C97" s="5" t="s">
        <v>168</v>
      </c>
      <c r="D97" s="5" t="s">
        <v>171</v>
      </c>
      <c r="E97" s="38">
        <f>80+60+60+80+60+80</f>
        <v>420</v>
      </c>
      <c r="F97" s="6">
        <v>840</v>
      </c>
      <c r="G97" s="5" t="s">
        <v>162</v>
      </c>
      <c r="H97" s="5" t="s">
        <v>26</v>
      </c>
      <c r="I97" s="5" t="s">
        <v>19</v>
      </c>
      <c r="J97" s="5">
        <v>9200000</v>
      </c>
      <c r="K97" s="11" t="s">
        <v>7</v>
      </c>
      <c r="L97" s="5" t="s">
        <v>237</v>
      </c>
    </row>
    <row r="98" spans="1:12" ht="45" x14ac:dyDescent="0.25">
      <c r="A98" s="5"/>
      <c r="B98" s="1">
        <v>97</v>
      </c>
      <c r="C98" s="5" t="s">
        <v>172</v>
      </c>
      <c r="D98" s="5" t="s">
        <v>84</v>
      </c>
      <c r="E98" s="40">
        <f>900.03+3029.1+1635.24+1090.16+543.02+2436.57+814.52+2180.32+2417.67+1657.72+273.7+821.07+821.08+1080.42+540.66+540.42+18683.6+5987.74+2171.77</f>
        <v>47624.81</v>
      </c>
      <c r="F98" s="6">
        <v>50000</v>
      </c>
      <c r="G98" s="5" t="s">
        <v>162</v>
      </c>
      <c r="H98" s="5" t="s">
        <v>26</v>
      </c>
      <c r="I98" s="5" t="s">
        <v>19</v>
      </c>
      <c r="J98" s="5">
        <v>55100000</v>
      </c>
      <c r="K98" s="11" t="s">
        <v>12</v>
      </c>
      <c r="L98" s="5" t="s">
        <v>238</v>
      </c>
    </row>
    <row r="99" spans="1:12" ht="45" x14ac:dyDescent="0.25">
      <c r="A99" s="5"/>
      <c r="B99" s="5">
        <v>98</v>
      </c>
      <c r="C99" s="5" t="s">
        <v>172</v>
      </c>
      <c r="D99" s="5" t="s">
        <v>88</v>
      </c>
      <c r="E99" s="40">
        <f>147.5+452.65+355.18+207.68+119.18+468.46+447.22+741.04+368.16+492.06+112.1+180.54+401.2+148.68+533.36+224.2+173.46+520.38+1502.14+493.24+1285.02+248.98+119.18+237.18+82.59+192.34+47.2+857.86+62.54+837.8+118</f>
        <v>12177.12</v>
      </c>
      <c r="F99" s="6">
        <v>15000</v>
      </c>
      <c r="G99" s="5" t="s">
        <v>162</v>
      </c>
      <c r="H99" s="5" t="s">
        <v>26</v>
      </c>
      <c r="I99" s="5" t="s">
        <v>19</v>
      </c>
      <c r="J99" s="5">
        <v>55300000</v>
      </c>
      <c r="K99" s="11" t="s">
        <v>12</v>
      </c>
      <c r="L99" s="5" t="s">
        <v>239</v>
      </c>
    </row>
    <row r="100" spans="1:12" ht="45" x14ac:dyDescent="0.25">
      <c r="A100" s="5"/>
      <c r="B100" s="5">
        <v>99</v>
      </c>
      <c r="C100" s="5" t="s">
        <v>102</v>
      </c>
      <c r="D100" s="5" t="s">
        <v>103</v>
      </c>
      <c r="E100" s="40">
        <v>1920.3</v>
      </c>
      <c r="F100" s="6">
        <v>1920.3</v>
      </c>
      <c r="G100" s="5" t="s">
        <v>162</v>
      </c>
      <c r="H100" s="5" t="s">
        <v>80</v>
      </c>
      <c r="I100" s="5" t="s">
        <v>19</v>
      </c>
      <c r="J100" s="5">
        <v>60400000</v>
      </c>
      <c r="K100" s="11" t="s">
        <v>12</v>
      </c>
      <c r="L100" s="5" t="s">
        <v>240</v>
      </c>
    </row>
    <row r="101" spans="1:12" ht="45" x14ac:dyDescent="0.25">
      <c r="A101" s="5"/>
      <c r="B101" s="1">
        <v>100</v>
      </c>
      <c r="C101" s="5" t="s">
        <v>189</v>
      </c>
      <c r="D101" s="5" t="s">
        <v>190</v>
      </c>
      <c r="E101" s="40" t="s">
        <v>225</v>
      </c>
      <c r="F101" s="6">
        <v>70</v>
      </c>
      <c r="G101" s="5" t="s">
        <v>162</v>
      </c>
      <c r="H101" s="5" t="s">
        <v>80</v>
      </c>
      <c r="I101" s="5" t="s">
        <v>19</v>
      </c>
      <c r="J101" s="5">
        <v>15300000</v>
      </c>
      <c r="K101" s="13" t="s">
        <v>10</v>
      </c>
      <c r="L101" s="5" t="s">
        <v>193</v>
      </c>
    </row>
    <row r="102" spans="1:12" ht="45" x14ac:dyDescent="0.25">
      <c r="A102" s="5"/>
      <c r="B102" s="1">
        <v>101</v>
      </c>
      <c r="C102" s="5" t="s">
        <v>106</v>
      </c>
      <c r="D102" s="5" t="s">
        <v>107</v>
      </c>
      <c r="E102" s="40">
        <v>99.74</v>
      </c>
      <c r="F102" s="6">
        <v>99.74</v>
      </c>
      <c r="G102" s="5" t="s">
        <v>162</v>
      </c>
      <c r="H102" s="5" t="s">
        <v>80</v>
      </c>
      <c r="I102" s="5" t="s">
        <v>19</v>
      </c>
      <c r="J102" s="5">
        <v>15500000</v>
      </c>
      <c r="K102" s="13" t="s">
        <v>10</v>
      </c>
      <c r="L102" s="5" t="s">
        <v>241</v>
      </c>
    </row>
    <row r="103" spans="1:12" ht="45" x14ac:dyDescent="0.25">
      <c r="A103" s="5"/>
      <c r="B103" s="5">
        <v>102</v>
      </c>
      <c r="C103" s="5" t="s">
        <v>358</v>
      </c>
      <c r="D103" s="5" t="s">
        <v>359</v>
      </c>
      <c r="E103" s="40">
        <f>147.5+118+118+118+118+118+118+118+118+118+106.2+118+118+118+88.5+118+118+118+118+118</f>
        <v>2348.1999999999998</v>
      </c>
      <c r="F103" s="6">
        <v>3540</v>
      </c>
      <c r="G103" s="5" t="s">
        <v>162</v>
      </c>
      <c r="H103" s="5" t="s">
        <v>26</v>
      </c>
      <c r="I103" s="5" t="s">
        <v>19</v>
      </c>
      <c r="J103" s="5">
        <v>41100000</v>
      </c>
      <c r="K103" s="13" t="s">
        <v>10</v>
      </c>
      <c r="L103" s="5" t="s">
        <v>242</v>
      </c>
    </row>
    <row r="104" spans="1:12" ht="45" x14ac:dyDescent="0.25">
      <c r="A104" s="5"/>
      <c r="B104" s="5">
        <v>103</v>
      </c>
      <c r="C104" s="5" t="s">
        <v>215</v>
      </c>
      <c r="D104" s="5" t="s">
        <v>84</v>
      </c>
      <c r="E104" s="40">
        <f>540.32+5583.6+283.62+1410.85+580.98</f>
        <v>8399.369999999999</v>
      </c>
      <c r="F104" s="6">
        <v>100000</v>
      </c>
      <c r="G104" s="5" t="s">
        <v>216</v>
      </c>
      <c r="H104" s="5" t="s">
        <v>26</v>
      </c>
      <c r="I104" s="5" t="s">
        <v>19</v>
      </c>
      <c r="J104" s="5">
        <v>55100000</v>
      </c>
      <c r="K104" s="11" t="s">
        <v>12</v>
      </c>
      <c r="L104" s="5" t="s">
        <v>243</v>
      </c>
    </row>
    <row r="105" spans="1:12" ht="45" x14ac:dyDescent="0.25">
      <c r="A105" s="5"/>
      <c r="B105" s="1">
        <v>104</v>
      </c>
      <c r="C105" s="5" t="s">
        <v>92</v>
      </c>
      <c r="D105" s="5" t="s">
        <v>84</v>
      </c>
      <c r="E105" s="40">
        <f>600.74+2556.3+2115.18+500.43+1892.96+471.24+942.48+2080.26+755.49+708.78+705.6+465.9+952.98+1302.77+323.79</f>
        <v>16374.900000000001</v>
      </c>
      <c r="F105" s="6">
        <v>50000</v>
      </c>
      <c r="G105" s="5" t="s">
        <v>216</v>
      </c>
      <c r="H105" s="5" t="s">
        <v>26</v>
      </c>
      <c r="I105" s="5" t="s">
        <v>19</v>
      </c>
      <c r="J105" s="5">
        <v>55100000</v>
      </c>
      <c r="K105" s="11" t="s">
        <v>12</v>
      </c>
      <c r="L105" s="5" t="s">
        <v>287</v>
      </c>
    </row>
    <row r="106" spans="1:12" ht="45" x14ac:dyDescent="0.25">
      <c r="A106" s="5"/>
      <c r="B106" s="1">
        <v>105</v>
      </c>
      <c r="C106" s="5" t="s">
        <v>92</v>
      </c>
      <c r="D106" s="5" t="s">
        <v>88</v>
      </c>
      <c r="E106" s="40">
        <f>330+500+800+120+400+120+240+120+450+600+150+160</f>
        <v>3990</v>
      </c>
      <c r="F106" s="6">
        <v>5000</v>
      </c>
      <c r="G106" s="5" t="s">
        <v>216</v>
      </c>
      <c r="H106" s="5" t="s">
        <v>26</v>
      </c>
      <c r="I106" s="5" t="s">
        <v>19</v>
      </c>
      <c r="J106" s="5">
        <v>55300000</v>
      </c>
      <c r="K106" s="11" t="s">
        <v>12</v>
      </c>
      <c r="L106" s="5" t="s">
        <v>286</v>
      </c>
    </row>
    <row r="107" spans="1:12" ht="45" x14ac:dyDescent="0.25">
      <c r="A107" s="5"/>
      <c r="B107" s="5">
        <v>106</v>
      </c>
      <c r="C107" s="5" t="s">
        <v>131</v>
      </c>
      <c r="D107" s="5" t="s">
        <v>84</v>
      </c>
      <c r="E107" s="40">
        <f>2964.7+2629.71+2330.03+1090.16+4873.14+541.46+7341.99+6564.16+801.21+547.4+33592.52+3284.4+1915.3+3295.5+1236.33+812.88+6927.73+1081.55+3021.13</f>
        <v>84851.3</v>
      </c>
      <c r="F107" s="6">
        <v>100000</v>
      </c>
      <c r="G107" s="5" t="s">
        <v>216</v>
      </c>
      <c r="H107" s="5" t="s">
        <v>26</v>
      </c>
      <c r="I107" s="5" t="s">
        <v>19</v>
      </c>
      <c r="J107" s="5">
        <v>55100000</v>
      </c>
      <c r="K107" s="11" t="s">
        <v>12</v>
      </c>
      <c r="L107" s="5" t="s">
        <v>244</v>
      </c>
    </row>
    <row r="108" spans="1:12" ht="45" x14ac:dyDescent="0.25">
      <c r="A108" s="5"/>
      <c r="B108" s="5">
        <v>107</v>
      </c>
      <c r="C108" s="5" t="s">
        <v>217</v>
      </c>
      <c r="D108" s="5" t="s">
        <v>84</v>
      </c>
      <c r="E108" s="40">
        <f>601.2+5879.2+9978.21+16191.8+1088.4+4024.43+8836.48+28135.58+11487.84+1367.95+11748.03+547.4+1906.44+5414.28+2442.41+1627.3+269.88+1079.78+1080.72+808.32+806.01+2149.47+4050.6+3002.42+1946.56+1946.12+4729.57+833.74+2781</f>
        <v>136761.13999999998</v>
      </c>
      <c r="F108" s="6">
        <v>300000</v>
      </c>
      <c r="G108" s="5" t="s">
        <v>216</v>
      </c>
      <c r="H108" s="5" t="s">
        <v>26</v>
      </c>
      <c r="I108" s="5" t="s">
        <v>19</v>
      </c>
      <c r="J108" s="5">
        <v>55100000</v>
      </c>
      <c r="K108" s="11" t="s">
        <v>12</v>
      </c>
      <c r="L108" s="5" t="s">
        <v>245</v>
      </c>
    </row>
    <row r="109" spans="1:12" ht="101.25" x14ac:dyDescent="0.25">
      <c r="A109" s="5"/>
      <c r="B109" s="1">
        <v>108</v>
      </c>
      <c r="C109" s="5" t="s">
        <v>250</v>
      </c>
      <c r="D109" s="5" t="s">
        <v>251</v>
      </c>
      <c r="E109" s="40">
        <f>184+60+15+295+122</f>
        <v>676</v>
      </c>
      <c r="F109" s="6">
        <v>1000</v>
      </c>
      <c r="G109" s="5" t="s">
        <v>216</v>
      </c>
      <c r="H109" s="5" t="s">
        <v>26</v>
      </c>
      <c r="I109" s="5" t="s">
        <v>19</v>
      </c>
      <c r="J109" s="5">
        <v>50100000</v>
      </c>
      <c r="K109" s="11" t="s">
        <v>21</v>
      </c>
      <c r="L109" s="5" t="s">
        <v>355</v>
      </c>
    </row>
    <row r="110" spans="1:12" ht="78.75" x14ac:dyDescent="0.25">
      <c r="A110" s="5"/>
      <c r="B110" s="1">
        <v>109</v>
      </c>
      <c r="C110" s="5" t="s">
        <v>252</v>
      </c>
      <c r="D110" s="5" t="s">
        <v>253</v>
      </c>
      <c r="E110" s="40">
        <f>155+15+479</f>
        <v>649</v>
      </c>
      <c r="F110" s="6">
        <v>1000</v>
      </c>
      <c r="G110" s="5" t="s">
        <v>216</v>
      </c>
      <c r="H110" s="5" t="s">
        <v>26</v>
      </c>
      <c r="I110" s="5" t="s">
        <v>19</v>
      </c>
      <c r="J110" s="5">
        <v>50100000</v>
      </c>
      <c r="K110" s="11" t="s">
        <v>21</v>
      </c>
      <c r="L110" s="5" t="s">
        <v>246</v>
      </c>
    </row>
    <row r="111" spans="1:12" ht="45" x14ac:dyDescent="0.25">
      <c r="A111" s="5"/>
      <c r="B111" s="5">
        <v>110</v>
      </c>
      <c r="C111" s="5" t="s">
        <v>254</v>
      </c>
      <c r="D111" s="5" t="s">
        <v>255</v>
      </c>
      <c r="E111" s="40">
        <f>88.5+88.5+88.5</f>
        <v>265.5</v>
      </c>
      <c r="F111" s="6">
        <v>1500</v>
      </c>
      <c r="G111" s="5" t="s">
        <v>216</v>
      </c>
      <c r="H111" s="5" t="s">
        <v>26</v>
      </c>
      <c r="I111" s="5" t="s">
        <v>19</v>
      </c>
      <c r="J111" s="5">
        <v>79500000</v>
      </c>
      <c r="K111" s="11" t="s">
        <v>29</v>
      </c>
      <c r="L111" s="5" t="s">
        <v>247</v>
      </c>
    </row>
    <row r="112" spans="1:12" ht="90" x14ac:dyDescent="0.25">
      <c r="A112" s="5"/>
      <c r="B112" s="5">
        <v>111</v>
      </c>
      <c r="C112" s="5" t="s">
        <v>256</v>
      </c>
      <c r="D112" s="5" t="s">
        <v>257</v>
      </c>
      <c r="E112" s="40">
        <v>13532.11</v>
      </c>
      <c r="F112" s="6">
        <v>13658.5</v>
      </c>
      <c r="G112" s="5" t="s">
        <v>216</v>
      </c>
      <c r="H112" s="5" t="s">
        <v>80</v>
      </c>
      <c r="I112" s="5" t="s">
        <v>19</v>
      </c>
      <c r="J112" s="5">
        <v>39100000</v>
      </c>
      <c r="K112" s="13" t="s">
        <v>99</v>
      </c>
      <c r="L112" s="5" t="s">
        <v>343</v>
      </c>
    </row>
    <row r="113" spans="1:16373" ht="45" x14ac:dyDescent="0.25">
      <c r="A113" s="5"/>
      <c r="B113" s="1">
        <v>112</v>
      </c>
      <c r="C113" s="5" t="s">
        <v>258</v>
      </c>
      <c r="D113" s="5" t="s">
        <v>84</v>
      </c>
      <c r="E113" s="40" t="s">
        <v>388</v>
      </c>
      <c r="F113" s="6">
        <v>2433.75</v>
      </c>
      <c r="G113" s="5" t="s">
        <v>216</v>
      </c>
      <c r="H113" s="5" t="s">
        <v>80</v>
      </c>
      <c r="I113" s="5" t="s">
        <v>19</v>
      </c>
      <c r="J113" s="5">
        <v>55100000</v>
      </c>
      <c r="K113" s="11" t="s">
        <v>12</v>
      </c>
      <c r="L113" s="5" t="s">
        <v>344</v>
      </c>
    </row>
    <row r="114" spans="1:16373" ht="45" x14ac:dyDescent="0.25">
      <c r="A114" s="5"/>
      <c r="B114" s="1">
        <v>113</v>
      </c>
      <c r="C114" s="5" t="s">
        <v>259</v>
      </c>
      <c r="D114" s="5" t="s">
        <v>82</v>
      </c>
      <c r="E114" s="40" t="s">
        <v>357</v>
      </c>
      <c r="F114" s="6">
        <v>162.5</v>
      </c>
      <c r="G114" s="5" t="s">
        <v>278</v>
      </c>
      <c r="H114" s="5" t="s">
        <v>80</v>
      </c>
      <c r="I114" s="5" t="s">
        <v>19</v>
      </c>
      <c r="J114" s="5">
        <v>63500000</v>
      </c>
      <c r="K114" s="11" t="s">
        <v>12</v>
      </c>
      <c r="L114" s="5" t="s">
        <v>345</v>
      </c>
    </row>
    <row r="115" spans="1:16373" ht="22.5" x14ac:dyDescent="0.25">
      <c r="A115" s="5"/>
      <c r="B115" s="5">
        <v>114</v>
      </c>
      <c r="C115" s="5" t="s">
        <v>260</v>
      </c>
      <c r="D115" s="5" t="s">
        <v>261</v>
      </c>
      <c r="E115" s="38">
        <f>1730+1730+1730+1730+1730+1730</f>
        <v>10380</v>
      </c>
      <c r="F115" s="6">
        <v>25935</v>
      </c>
      <c r="G115" s="5" t="s">
        <v>278</v>
      </c>
      <c r="H115" s="5" t="s">
        <v>26</v>
      </c>
      <c r="I115" s="5" t="s">
        <v>9</v>
      </c>
      <c r="J115" s="5">
        <v>63100000</v>
      </c>
      <c r="K115" s="5" t="s">
        <v>279</v>
      </c>
      <c r="L115" s="5"/>
    </row>
    <row r="116" spans="1:16373" ht="45" x14ac:dyDescent="0.25">
      <c r="A116" s="5"/>
      <c r="B116" s="5">
        <v>115</v>
      </c>
      <c r="C116" s="5" t="s">
        <v>262</v>
      </c>
      <c r="D116" s="5" t="s">
        <v>263</v>
      </c>
      <c r="E116" s="40">
        <v>3540</v>
      </c>
      <c r="F116" s="6">
        <v>3540</v>
      </c>
      <c r="G116" s="5" t="s">
        <v>278</v>
      </c>
      <c r="H116" s="5" t="s">
        <v>80</v>
      </c>
      <c r="I116" s="5" t="s">
        <v>19</v>
      </c>
      <c r="J116" s="5">
        <v>22100000</v>
      </c>
      <c r="K116" s="13" t="s">
        <v>10</v>
      </c>
      <c r="L116" s="5" t="s">
        <v>346</v>
      </c>
    </row>
    <row r="117" spans="1:16373" ht="101.25" x14ac:dyDescent="0.25">
      <c r="A117" s="5"/>
      <c r="B117" s="1">
        <v>116</v>
      </c>
      <c r="C117" s="5" t="s">
        <v>264</v>
      </c>
      <c r="D117" s="5" t="s">
        <v>265</v>
      </c>
      <c r="E117" s="40" t="s">
        <v>389</v>
      </c>
      <c r="F117" s="6">
        <v>56050</v>
      </c>
      <c r="G117" s="5" t="s">
        <v>280</v>
      </c>
      <c r="H117" s="5" t="s">
        <v>80</v>
      </c>
      <c r="I117" s="5" t="s">
        <v>19</v>
      </c>
      <c r="J117" s="5">
        <v>39100000</v>
      </c>
      <c r="K117" s="13" t="s">
        <v>281</v>
      </c>
      <c r="L117" s="5" t="s">
        <v>248</v>
      </c>
    </row>
    <row r="118" spans="1:16373" ht="101.25" x14ac:dyDescent="0.25">
      <c r="A118" s="5"/>
      <c r="B118" s="1">
        <v>117</v>
      </c>
      <c r="C118" s="5" t="s">
        <v>266</v>
      </c>
      <c r="D118" s="5" t="s">
        <v>267</v>
      </c>
      <c r="E118" s="40">
        <v>28099.99</v>
      </c>
      <c r="F118" s="6">
        <v>28715</v>
      </c>
      <c r="G118" s="5" t="s">
        <v>280</v>
      </c>
      <c r="H118" s="5" t="s">
        <v>80</v>
      </c>
      <c r="I118" s="5" t="s">
        <v>19</v>
      </c>
      <c r="J118" s="5">
        <v>39100000</v>
      </c>
      <c r="K118" s="13" t="s">
        <v>281</v>
      </c>
      <c r="L118" s="5" t="s">
        <v>249</v>
      </c>
    </row>
    <row r="119" spans="1:16373" ht="90" x14ac:dyDescent="0.25">
      <c r="A119" s="5"/>
      <c r="B119" s="5">
        <v>118</v>
      </c>
      <c r="C119" s="5" t="s">
        <v>268</v>
      </c>
      <c r="D119" s="5" t="s">
        <v>269</v>
      </c>
      <c r="E119" s="40" t="s">
        <v>433</v>
      </c>
      <c r="F119" s="6">
        <v>181675.6</v>
      </c>
      <c r="G119" s="5" t="s">
        <v>280</v>
      </c>
      <c r="H119" s="5" t="s">
        <v>80</v>
      </c>
      <c r="I119" s="5" t="s">
        <v>19</v>
      </c>
      <c r="J119" s="5">
        <v>92100000</v>
      </c>
      <c r="K119" s="13" t="s">
        <v>282</v>
      </c>
      <c r="L119" s="5" t="s">
        <v>347</v>
      </c>
    </row>
    <row r="120" spans="1:16373" ht="45" x14ac:dyDescent="0.25">
      <c r="A120" s="5"/>
      <c r="B120" s="5">
        <v>119</v>
      </c>
      <c r="C120" s="5" t="s">
        <v>120</v>
      </c>
      <c r="D120" s="5" t="s">
        <v>84</v>
      </c>
      <c r="E120" s="40" t="s">
        <v>390</v>
      </c>
      <c r="F120" s="6">
        <v>950</v>
      </c>
      <c r="G120" s="5" t="s">
        <v>283</v>
      </c>
      <c r="H120" s="5" t="s">
        <v>80</v>
      </c>
      <c r="I120" s="5" t="s">
        <v>19</v>
      </c>
      <c r="J120" s="5">
        <v>55100000</v>
      </c>
      <c r="K120" s="11" t="s">
        <v>12</v>
      </c>
      <c r="L120" s="5" t="s">
        <v>362</v>
      </c>
    </row>
    <row r="121" spans="1:16373" s="22" customFormat="1" ht="45" x14ac:dyDescent="0.25">
      <c r="A121" s="21"/>
      <c r="B121" s="1">
        <v>120</v>
      </c>
      <c r="C121" s="5" t="s">
        <v>270</v>
      </c>
      <c r="D121" s="5" t="s">
        <v>88</v>
      </c>
      <c r="E121" s="40">
        <f>150 +400+300+400+100+700+400+1200+880+140+50+50+50+100+400+100+100</f>
        <v>5520</v>
      </c>
      <c r="F121" s="6">
        <v>7000</v>
      </c>
      <c r="G121" s="5" t="s">
        <v>283</v>
      </c>
      <c r="H121" s="5" t="s">
        <v>26</v>
      </c>
      <c r="I121" s="5" t="s">
        <v>19</v>
      </c>
      <c r="J121" s="5">
        <v>55300000</v>
      </c>
      <c r="K121" s="11" t="s">
        <v>12</v>
      </c>
      <c r="L121" s="5" t="s">
        <v>348</v>
      </c>
    </row>
    <row r="122" spans="1:16373" ht="45" x14ac:dyDescent="0.25">
      <c r="A122" s="5"/>
      <c r="B122" s="1">
        <v>121</v>
      </c>
      <c r="C122" s="5" t="s">
        <v>271</v>
      </c>
      <c r="D122" s="5" t="s">
        <v>88</v>
      </c>
      <c r="E122" s="40">
        <v>399.3</v>
      </c>
      <c r="F122" s="6">
        <v>400</v>
      </c>
      <c r="G122" s="5" t="s">
        <v>283</v>
      </c>
      <c r="H122" s="5" t="s">
        <v>80</v>
      </c>
      <c r="I122" s="5" t="s">
        <v>19</v>
      </c>
      <c r="J122" s="5">
        <v>55300000</v>
      </c>
      <c r="K122" s="11" t="s">
        <v>12</v>
      </c>
      <c r="L122" s="5" t="s">
        <v>349</v>
      </c>
    </row>
    <row r="123" spans="1:16373" ht="45" x14ac:dyDescent="0.25">
      <c r="A123" s="5"/>
      <c r="B123" s="5">
        <v>122</v>
      </c>
      <c r="C123" s="5" t="s">
        <v>85</v>
      </c>
      <c r="D123" s="5" t="s">
        <v>86</v>
      </c>
      <c r="E123" s="40">
        <v>2300</v>
      </c>
      <c r="F123" s="6">
        <v>2300</v>
      </c>
      <c r="G123" s="5" t="s">
        <v>283</v>
      </c>
      <c r="H123" s="5" t="s">
        <v>80</v>
      </c>
      <c r="I123" s="5" t="s">
        <v>19</v>
      </c>
      <c r="J123" s="5">
        <v>60100000</v>
      </c>
      <c r="K123" s="11" t="s">
        <v>12</v>
      </c>
      <c r="L123" s="5" t="s">
        <v>350</v>
      </c>
    </row>
    <row r="124" spans="1:16373" ht="45" x14ac:dyDescent="0.25">
      <c r="A124" s="5"/>
      <c r="B124" s="5">
        <v>123</v>
      </c>
      <c r="C124" s="5" t="s">
        <v>272</v>
      </c>
      <c r="D124" s="5" t="s">
        <v>82</v>
      </c>
      <c r="E124" s="40" t="s">
        <v>360</v>
      </c>
      <c r="F124" s="6">
        <v>950</v>
      </c>
      <c r="G124" s="5" t="s">
        <v>283</v>
      </c>
      <c r="H124" s="5" t="s">
        <v>80</v>
      </c>
      <c r="I124" s="5" t="s">
        <v>19</v>
      </c>
      <c r="J124" s="5">
        <v>63500000</v>
      </c>
      <c r="K124" s="11" t="s">
        <v>12</v>
      </c>
      <c r="L124" s="5" t="s">
        <v>351</v>
      </c>
    </row>
    <row r="125" spans="1:16373" ht="45" x14ac:dyDescent="0.25">
      <c r="A125" s="5"/>
      <c r="B125" s="1">
        <v>124</v>
      </c>
      <c r="C125" s="5" t="s">
        <v>102</v>
      </c>
      <c r="D125" s="5" t="s">
        <v>103</v>
      </c>
      <c r="E125" s="40">
        <v>14895</v>
      </c>
      <c r="F125" s="6">
        <v>14895</v>
      </c>
      <c r="G125" s="5" t="s">
        <v>283</v>
      </c>
      <c r="H125" s="5" t="s">
        <v>80</v>
      </c>
      <c r="I125" s="5" t="s">
        <v>19</v>
      </c>
      <c r="J125" s="5">
        <v>60400000</v>
      </c>
      <c r="K125" s="11" t="s">
        <v>12</v>
      </c>
      <c r="L125" s="5" t="s">
        <v>361</v>
      </c>
    </row>
    <row r="126" spans="1:16373" ht="101.25" x14ac:dyDescent="0.25">
      <c r="A126" s="5"/>
      <c r="B126" s="1">
        <v>125</v>
      </c>
      <c r="C126" s="5" t="s">
        <v>273</v>
      </c>
      <c r="D126" s="5" t="s">
        <v>274</v>
      </c>
      <c r="E126" s="40" t="s">
        <v>519</v>
      </c>
      <c r="F126" s="6">
        <v>3168</v>
      </c>
      <c r="G126" s="5" t="s">
        <v>283</v>
      </c>
      <c r="H126" s="5" t="s">
        <v>80</v>
      </c>
      <c r="I126" s="5" t="s">
        <v>19</v>
      </c>
      <c r="J126" s="5">
        <v>79300000</v>
      </c>
      <c r="K126" s="13" t="s">
        <v>281</v>
      </c>
      <c r="L126" s="5" t="s">
        <v>352</v>
      </c>
    </row>
    <row r="127" spans="1:16373" ht="45" x14ac:dyDescent="0.25">
      <c r="A127" s="5"/>
      <c r="B127" s="5">
        <v>125</v>
      </c>
      <c r="C127" s="5" t="s">
        <v>252</v>
      </c>
      <c r="D127" s="5" t="s">
        <v>816</v>
      </c>
      <c r="E127" s="40">
        <f>1580+321</f>
        <v>1901</v>
      </c>
      <c r="F127" s="6">
        <v>4900</v>
      </c>
      <c r="G127" s="5" t="s">
        <v>817</v>
      </c>
      <c r="H127" s="5" t="s">
        <v>26</v>
      </c>
      <c r="I127" s="5" t="s">
        <v>19</v>
      </c>
      <c r="J127" s="5">
        <v>50100000</v>
      </c>
      <c r="K127" s="11" t="s">
        <v>21</v>
      </c>
      <c r="L127" s="5" t="s">
        <v>818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  <c r="IW127" s="5"/>
      <c r="IX127" s="5"/>
      <c r="IY127" s="5"/>
      <c r="IZ127" s="5"/>
      <c r="JA127" s="5"/>
      <c r="JB127" s="5"/>
      <c r="JC127" s="5"/>
      <c r="JD127" s="5"/>
      <c r="JE127" s="5"/>
      <c r="JF127" s="5"/>
      <c r="JG127" s="5"/>
      <c r="JH127" s="5"/>
      <c r="JI127" s="5"/>
      <c r="JJ127" s="5"/>
      <c r="JK127" s="5"/>
      <c r="JL127" s="5"/>
      <c r="JM127" s="5"/>
      <c r="JN127" s="5"/>
      <c r="JO127" s="5"/>
      <c r="JP127" s="5"/>
      <c r="JQ127" s="5"/>
      <c r="JR127" s="5"/>
      <c r="JS127" s="5"/>
      <c r="JT127" s="5"/>
      <c r="JU127" s="5"/>
      <c r="JV127" s="5"/>
      <c r="JW127" s="5"/>
      <c r="JX127" s="5"/>
      <c r="JY127" s="5"/>
      <c r="JZ127" s="5"/>
      <c r="KA127" s="5"/>
      <c r="KB127" s="5"/>
      <c r="KC127" s="5"/>
      <c r="KD127" s="5"/>
      <c r="KE127" s="5"/>
      <c r="KF127" s="5"/>
      <c r="KG127" s="5"/>
      <c r="KH127" s="5"/>
      <c r="KI127" s="5"/>
      <c r="KJ127" s="5"/>
      <c r="KK127" s="5"/>
      <c r="KL127" s="5"/>
      <c r="KM127" s="5"/>
      <c r="KN127" s="5"/>
      <c r="KO127" s="5"/>
      <c r="KP127" s="5"/>
      <c r="KQ127" s="5"/>
      <c r="KR127" s="5"/>
      <c r="KS127" s="5"/>
      <c r="KT127" s="5"/>
      <c r="KU127" s="5"/>
      <c r="KV127" s="5"/>
      <c r="KW127" s="5"/>
      <c r="KX127" s="5"/>
      <c r="KY127" s="5"/>
      <c r="KZ127" s="5"/>
      <c r="LA127" s="5"/>
      <c r="LB127" s="5"/>
      <c r="LC127" s="5"/>
      <c r="LD127" s="5"/>
      <c r="LE127" s="5"/>
      <c r="LF127" s="5"/>
      <c r="LG127" s="5"/>
      <c r="LH127" s="5"/>
      <c r="LI127" s="5"/>
      <c r="LJ127" s="5"/>
      <c r="LK127" s="5"/>
      <c r="LL127" s="5"/>
      <c r="LM127" s="5"/>
      <c r="LN127" s="5"/>
      <c r="LO127" s="5"/>
      <c r="LP127" s="5"/>
      <c r="LQ127" s="5"/>
      <c r="LR127" s="5"/>
      <c r="LS127" s="5"/>
      <c r="LT127" s="5"/>
      <c r="LU127" s="5"/>
      <c r="LV127" s="5"/>
      <c r="LW127" s="5"/>
      <c r="LX127" s="5"/>
      <c r="LY127" s="5"/>
      <c r="LZ127" s="5"/>
      <c r="MA127" s="5"/>
      <c r="MB127" s="5"/>
      <c r="MC127" s="5"/>
      <c r="MD127" s="5"/>
      <c r="ME127" s="5"/>
      <c r="MF127" s="5"/>
      <c r="MG127" s="5"/>
      <c r="MH127" s="5"/>
      <c r="MI127" s="5"/>
      <c r="MJ127" s="5"/>
      <c r="MK127" s="5"/>
      <c r="ML127" s="5"/>
      <c r="MM127" s="5"/>
      <c r="MN127" s="5"/>
      <c r="MO127" s="5"/>
      <c r="MP127" s="5"/>
      <c r="MQ127" s="5"/>
      <c r="MR127" s="5"/>
      <c r="MS127" s="5"/>
      <c r="MT127" s="5"/>
      <c r="MU127" s="5"/>
      <c r="MV127" s="5"/>
      <c r="MW127" s="5"/>
      <c r="MX127" s="5"/>
      <c r="MY127" s="5"/>
      <c r="MZ127" s="5"/>
      <c r="NA127" s="5"/>
      <c r="NB127" s="5"/>
      <c r="NC127" s="5"/>
      <c r="ND127" s="5"/>
      <c r="NE127" s="5"/>
      <c r="NF127" s="5"/>
      <c r="NG127" s="5"/>
      <c r="NH127" s="5"/>
      <c r="NI127" s="5"/>
      <c r="NJ127" s="5"/>
      <c r="NK127" s="5"/>
      <c r="NL127" s="5"/>
      <c r="NM127" s="5"/>
      <c r="NN127" s="5"/>
      <c r="NO127" s="5"/>
      <c r="NP127" s="5"/>
      <c r="NQ127" s="5"/>
      <c r="NR127" s="5"/>
      <c r="NS127" s="5"/>
      <c r="NT127" s="5"/>
      <c r="NU127" s="5"/>
      <c r="NV127" s="5"/>
      <c r="NW127" s="5"/>
      <c r="NX127" s="5"/>
      <c r="NY127" s="5"/>
      <c r="NZ127" s="5"/>
      <c r="OA127" s="5"/>
      <c r="OB127" s="5"/>
      <c r="OC127" s="5"/>
      <c r="OD127" s="5"/>
      <c r="OE127" s="5"/>
      <c r="OF127" s="5"/>
      <c r="OG127" s="5"/>
      <c r="OH127" s="5"/>
      <c r="OI127" s="5"/>
      <c r="OJ127" s="5"/>
      <c r="OK127" s="5"/>
      <c r="OL127" s="5"/>
      <c r="OM127" s="5"/>
      <c r="ON127" s="5"/>
      <c r="OO127" s="5"/>
      <c r="OP127" s="5"/>
      <c r="OQ127" s="5"/>
      <c r="OR127" s="5"/>
      <c r="OS127" s="5"/>
      <c r="OT127" s="5"/>
      <c r="OU127" s="5"/>
      <c r="OV127" s="5"/>
      <c r="OW127" s="5"/>
      <c r="OX127" s="5"/>
      <c r="OY127" s="5"/>
      <c r="OZ127" s="5"/>
      <c r="PA127" s="5"/>
      <c r="PB127" s="5"/>
      <c r="PC127" s="5"/>
      <c r="PD127" s="5"/>
      <c r="PE127" s="5"/>
      <c r="PF127" s="5"/>
      <c r="PG127" s="5"/>
      <c r="PH127" s="5"/>
      <c r="PI127" s="5"/>
      <c r="PJ127" s="5"/>
      <c r="PK127" s="5"/>
      <c r="PL127" s="5"/>
      <c r="PM127" s="5"/>
      <c r="PN127" s="5"/>
      <c r="PO127" s="5"/>
      <c r="PP127" s="5"/>
      <c r="PQ127" s="5"/>
      <c r="PR127" s="5"/>
      <c r="PS127" s="5"/>
      <c r="PT127" s="5"/>
      <c r="PU127" s="5"/>
      <c r="PV127" s="5"/>
      <c r="PW127" s="5"/>
      <c r="PX127" s="5"/>
      <c r="PY127" s="5"/>
      <c r="PZ127" s="5"/>
      <c r="QA127" s="5"/>
      <c r="QB127" s="5"/>
      <c r="QC127" s="5"/>
      <c r="QD127" s="5"/>
      <c r="QE127" s="5"/>
      <c r="QF127" s="5"/>
      <c r="QG127" s="5"/>
      <c r="QH127" s="5"/>
      <c r="QI127" s="5"/>
      <c r="QJ127" s="5"/>
      <c r="QK127" s="5"/>
      <c r="QL127" s="5"/>
      <c r="QM127" s="5"/>
      <c r="QN127" s="5"/>
      <c r="QO127" s="5"/>
      <c r="QP127" s="5"/>
      <c r="QQ127" s="5"/>
      <c r="QR127" s="5"/>
      <c r="QS127" s="5"/>
      <c r="QT127" s="5"/>
      <c r="QU127" s="5"/>
      <c r="QV127" s="5"/>
      <c r="QW127" s="5"/>
      <c r="QX127" s="5"/>
      <c r="QY127" s="5"/>
      <c r="QZ127" s="5"/>
      <c r="RA127" s="5"/>
      <c r="RB127" s="5"/>
      <c r="RC127" s="5"/>
      <c r="RD127" s="5"/>
      <c r="RE127" s="5"/>
      <c r="RF127" s="5"/>
      <c r="RG127" s="5"/>
      <c r="RH127" s="5"/>
      <c r="RI127" s="5"/>
      <c r="RJ127" s="5"/>
      <c r="RK127" s="5"/>
      <c r="RL127" s="5"/>
      <c r="RM127" s="5"/>
      <c r="RN127" s="5"/>
      <c r="RO127" s="5"/>
      <c r="RP127" s="5"/>
      <c r="RQ127" s="5"/>
      <c r="RR127" s="5"/>
      <c r="RS127" s="5"/>
      <c r="RT127" s="5"/>
      <c r="RU127" s="5"/>
      <c r="RV127" s="5"/>
      <c r="RW127" s="5"/>
      <c r="RX127" s="5"/>
      <c r="RY127" s="5"/>
      <c r="RZ127" s="5"/>
      <c r="SA127" s="5"/>
      <c r="SB127" s="5"/>
      <c r="SC127" s="5"/>
      <c r="SD127" s="5"/>
      <c r="SE127" s="5"/>
      <c r="SF127" s="5"/>
      <c r="SG127" s="5"/>
      <c r="SH127" s="5"/>
      <c r="SI127" s="5"/>
      <c r="SJ127" s="5"/>
      <c r="SK127" s="5"/>
      <c r="SL127" s="5"/>
      <c r="SM127" s="5"/>
      <c r="SN127" s="5"/>
      <c r="SO127" s="5"/>
      <c r="SP127" s="5"/>
      <c r="SQ127" s="5"/>
      <c r="SR127" s="5"/>
      <c r="SS127" s="5"/>
      <c r="ST127" s="5"/>
      <c r="SU127" s="5"/>
      <c r="SV127" s="5"/>
      <c r="SW127" s="5"/>
      <c r="SX127" s="5"/>
      <c r="SY127" s="5"/>
      <c r="SZ127" s="5"/>
      <c r="TA127" s="5"/>
      <c r="TB127" s="5"/>
      <c r="TC127" s="5"/>
      <c r="TD127" s="5"/>
      <c r="TE127" s="5"/>
      <c r="TF127" s="5"/>
      <c r="TG127" s="5"/>
      <c r="TH127" s="5"/>
      <c r="TI127" s="5"/>
      <c r="TJ127" s="5"/>
      <c r="TK127" s="5"/>
      <c r="TL127" s="5"/>
      <c r="TM127" s="5"/>
      <c r="TN127" s="5"/>
      <c r="TO127" s="5"/>
      <c r="TP127" s="5"/>
      <c r="TQ127" s="5"/>
      <c r="TR127" s="5"/>
      <c r="TS127" s="5"/>
      <c r="TT127" s="5"/>
      <c r="TU127" s="5"/>
      <c r="TV127" s="5"/>
      <c r="TW127" s="5"/>
      <c r="TX127" s="5"/>
      <c r="TY127" s="5"/>
      <c r="TZ127" s="5"/>
      <c r="UA127" s="5"/>
      <c r="UB127" s="5"/>
      <c r="UC127" s="5"/>
      <c r="UD127" s="5"/>
      <c r="UE127" s="5"/>
      <c r="UF127" s="5"/>
      <c r="UG127" s="5"/>
      <c r="UH127" s="5"/>
      <c r="UI127" s="5"/>
      <c r="UJ127" s="5"/>
      <c r="UK127" s="5"/>
      <c r="UL127" s="5"/>
      <c r="UM127" s="5"/>
      <c r="UN127" s="5"/>
      <c r="UO127" s="5"/>
      <c r="UP127" s="5"/>
      <c r="UQ127" s="5"/>
      <c r="UR127" s="5"/>
      <c r="US127" s="5"/>
      <c r="UT127" s="5"/>
      <c r="UU127" s="5"/>
      <c r="UV127" s="5"/>
      <c r="UW127" s="5"/>
      <c r="UX127" s="5"/>
      <c r="UY127" s="5"/>
      <c r="UZ127" s="5"/>
      <c r="VA127" s="5"/>
      <c r="VB127" s="5"/>
      <c r="VC127" s="5"/>
      <c r="VD127" s="5"/>
      <c r="VE127" s="5"/>
      <c r="VF127" s="5"/>
      <c r="VG127" s="5"/>
      <c r="VH127" s="5"/>
      <c r="VI127" s="5"/>
      <c r="VJ127" s="5"/>
      <c r="VK127" s="5"/>
      <c r="VL127" s="5"/>
      <c r="VM127" s="5"/>
      <c r="VN127" s="5"/>
      <c r="VO127" s="5"/>
      <c r="VP127" s="5"/>
      <c r="VQ127" s="5"/>
      <c r="VR127" s="5"/>
      <c r="VS127" s="5"/>
      <c r="VT127" s="5"/>
      <c r="VU127" s="5"/>
      <c r="VV127" s="5"/>
      <c r="VW127" s="5"/>
      <c r="VX127" s="5"/>
      <c r="VY127" s="5"/>
      <c r="VZ127" s="5"/>
      <c r="WA127" s="5"/>
      <c r="WB127" s="5"/>
      <c r="WC127" s="5"/>
      <c r="WD127" s="5"/>
      <c r="WE127" s="5"/>
      <c r="WF127" s="5"/>
      <c r="WG127" s="5"/>
      <c r="WH127" s="5"/>
      <c r="WI127" s="5"/>
      <c r="WJ127" s="5"/>
      <c r="WK127" s="5"/>
      <c r="WL127" s="5"/>
      <c r="WM127" s="5"/>
      <c r="WN127" s="5"/>
      <c r="WO127" s="5"/>
      <c r="WP127" s="5"/>
      <c r="WQ127" s="5"/>
      <c r="WR127" s="5"/>
      <c r="WS127" s="5"/>
      <c r="WT127" s="5"/>
      <c r="WU127" s="5"/>
      <c r="WV127" s="5"/>
      <c r="WW127" s="5"/>
      <c r="WX127" s="5"/>
      <c r="WY127" s="5"/>
      <c r="WZ127" s="5"/>
      <c r="XA127" s="5"/>
      <c r="XB127" s="5"/>
      <c r="XC127" s="5"/>
      <c r="XD127" s="5"/>
      <c r="XE127" s="5"/>
      <c r="XF127" s="5"/>
      <c r="XG127" s="5"/>
      <c r="XH127" s="5"/>
      <c r="XI127" s="5"/>
      <c r="XJ127" s="5"/>
      <c r="XK127" s="5"/>
      <c r="XL127" s="5"/>
      <c r="XM127" s="5"/>
      <c r="XN127" s="5"/>
      <c r="XO127" s="5"/>
      <c r="XP127" s="5"/>
      <c r="XQ127" s="5"/>
      <c r="XR127" s="5"/>
      <c r="XS127" s="5"/>
      <c r="XT127" s="5"/>
      <c r="XU127" s="5"/>
      <c r="XV127" s="5"/>
      <c r="XW127" s="5"/>
      <c r="XX127" s="5"/>
      <c r="XY127" s="5"/>
      <c r="XZ127" s="5"/>
      <c r="YA127" s="5"/>
      <c r="YB127" s="5"/>
      <c r="YC127" s="5"/>
      <c r="YD127" s="5"/>
      <c r="YE127" s="5"/>
      <c r="YF127" s="5"/>
      <c r="YG127" s="5"/>
      <c r="YH127" s="5"/>
      <c r="YI127" s="5"/>
      <c r="YJ127" s="5"/>
      <c r="YK127" s="5"/>
      <c r="YL127" s="5"/>
      <c r="YM127" s="5"/>
      <c r="YN127" s="5"/>
      <c r="YO127" s="5"/>
      <c r="YP127" s="5"/>
      <c r="YQ127" s="5"/>
      <c r="YR127" s="5"/>
      <c r="YS127" s="5"/>
      <c r="YT127" s="5"/>
      <c r="YU127" s="5"/>
      <c r="YV127" s="5"/>
      <c r="YW127" s="5"/>
      <c r="YX127" s="5"/>
      <c r="YY127" s="5"/>
      <c r="YZ127" s="5"/>
      <c r="ZA127" s="5"/>
      <c r="ZB127" s="5"/>
      <c r="ZC127" s="5"/>
      <c r="ZD127" s="5"/>
      <c r="ZE127" s="5"/>
      <c r="ZF127" s="5"/>
      <c r="ZG127" s="5"/>
      <c r="ZH127" s="5"/>
      <c r="ZI127" s="5"/>
      <c r="ZJ127" s="5"/>
      <c r="ZK127" s="5"/>
      <c r="ZL127" s="5"/>
      <c r="ZM127" s="5"/>
      <c r="ZN127" s="5"/>
      <c r="ZO127" s="5"/>
      <c r="ZP127" s="5"/>
      <c r="ZQ127" s="5"/>
      <c r="ZR127" s="5"/>
      <c r="ZS127" s="5"/>
      <c r="ZT127" s="5"/>
      <c r="ZU127" s="5"/>
      <c r="ZV127" s="5"/>
      <c r="ZW127" s="5"/>
      <c r="ZX127" s="5"/>
      <c r="ZY127" s="5"/>
      <c r="ZZ127" s="5"/>
      <c r="AAA127" s="5"/>
      <c r="AAB127" s="5"/>
      <c r="AAC127" s="5"/>
      <c r="AAD127" s="5"/>
      <c r="AAE127" s="5"/>
      <c r="AAF127" s="5"/>
      <c r="AAG127" s="5"/>
      <c r="AAH127" s="5"/>
      <c r="AAI127" s="5"/>
      <c r="AAJ127" s="5"/>
      <c r="AAK127" s="5"/>
      <c r="AAL127" s="5"/>
      <c r="AAM127" s="5"/>
      <c r="AAN127" s="5"/>
      <c r="AAO127" s="5"/>
      <c r="AAP127" s="5"/>
      <c r="AAQ127" s="5"/>
      <c r="AAR127" s="5"/>
      <c r="AAS127" s="5"/>
      <c r="AAT127" s="5"/>
      <c r="AAU127" s="5"/>
      <c r="AAV127" s="5"/>
      <c r="AAW127" s="5"/>
      <c r="AAX127" s="5"/>
      <c r="AAY127" s="5"/>
      <c r="AAZ127" s="5"/>
      <c r="ABA127" s="5"/>
      <c r="ABB127" s="5"/>
      <c r="ABC127" s="5"/>
      <c r="ABD127" s="5"/>
      <c r="ABE127" s="5"/>
      <c r="ABF127" s="5"/>
      <c r="ABG127" s="5"/>
      <c r="ABH127" s="5"/>
      <c r="ABI127" s="5"/>
      <c r="ABJ127" s="5"/>
      <c r="ABK127" s="5"/>
      <c r="ABL127" s="5"/>
      <c r="ABM127" s="5"/>
      <c r="ABN127" s="5"/>
      <c r="ABO127" s="5"/>
      <c r="ABP127" s="5"/>
      <c r="ABQ127" s="5"/>
      <c r="ABR127" s="5"/>
      <c r="ABS127" s="5"/>
      <c r="ABT127" s="5"/>
      <c r="ABU127" s="5"/>
      <c r="ABV127" s="5"/>
      <c r="ABW127" s="5"/>
      <c r="ABX127" s="5"/>
      <c r="ABY127" s="5"/>
      <c r="ABZ127" s="5"/>
      <c r="ACA127" s="5"/>
      <c r="ACB127" s="5"/>
      <c r="ACC127" s="5"/>
      <c r="ACD127" s="5"/>
      <c r="ACE127" s="5"/>
      <c r="ACF127" s="5"/>
      <c r="ACG127" s="5"/>
      <c r="ACH127" s="5"/>
      <c r="ACI127" s="5"/>
      <c r="ACJ127" s="5"/>
      <c r="ACK127" s="5"/>
      <c r="ACL127" s="5"/>
      <c r="ACM127" s="5"/>
      <c r="ACN127" s="5"/>
      <c r="ACO127" s="5"/>
      <c r="ACP127" s="5"/>
      <c r="ACQ127" s="5"/>
      <c r="ACR127" s="5"/>
      <c r="ACS127" s="5"/>
      <c r="ACT127" s="5"/>
      <c r="ACU127" s="5"/>
      <c r="ACV127" s="5"/>
      <c r="ACW127" s="5"/>
      <c r="ACX127" s="5"/>
      <c r="ACY127" s="5"/>
      <c r="ACZ127" s="5"/>
      <c r="ADA127" s="5"/>
      <c r="ADB127" s="5"/>
      <c r="ADC127" s="5"/>
      <c r="ADD127" s="5"/>
      <c r="ADE127" s="5"/>
      <c r="ADF127" s="5"/>
      <c r="ADG127" s="5"/>
      <c r="ADH127" s="5"/>
      <c r="ADI127" s="5"/>
      <c r="ADJ127" s="5"/>
      <c r="ADK127" s="5"/>
      <c r="ADL127" s="5"/>
      <c r="ADM127" s="5"/>
      <c r="ADN127" s="5"/>
      <c r="ADO127" s="5"/>
      <c r="ADP127" s="5"/>
      <c r="ADQ127" s="5"/>
      <c r="ADR127" s="5"/>
      <c r="ADS127" s="5"/>
      <c r="ADT127" s="5"/>
      <c r="ADU127" s="5"/>
      <c r="ADV127" s="5"/>
      <c r="ADW127" s="5"/>
      <c r="ADX127" s="5"/>
      <c r="ADY127" s="5"/>
      <c r="ADZ127" s="5"/>
      <c r="AEA127" s="5"/>
      <c r="AEB127" s="5"/>
      <c r="AEC127" s="5"/>
      <c r="AED127" s="5"/>
      <c r="AEE127" s="5"/>
      <c r="AEF127" s="5"/>
      <c r="AEG127" s="5"/>
      <c r="AEH127" s="5"/>
      <c r="AEI127" s="5"/>
      <c r="AEJ127" s="5"/>
      <c r="AEK127" s="5"/>
      <c r="AEL127" s="5"/>
      <c r="AEM127" s="5"/>
      <c r="AEN127" s="5"/>
      <c r="AEO127" s="5"/>
      <c r="AEP127" s="5"/>
      <c r="AEQ127" s="5"/>
      <c r="AER127" s="5"/>
      <c r="AES127" s="5"/>
      <c r="AET127" s="5"/>
      <c r="AEU127" s="5"/>
      <c r="AEV127" s="5"/>
      <c r="AEW127" s="5"/>
      <c r="AEX127" s="5"/>
      <c r="AEY127" s="5"/>
      <c r="AEZ127" s="5"/>
      <c r="AFA127" s="5"/>
      <c r="AFB127" s="5"/>
      <c r="AFC127" s="5"/>
      <c r="AFD127" s="5"/>
      <c r="AFE127" s="5"/>
      <c r="AFF127" s="5"/>
      <c r="AFG127" s="5"/>
      <c r="AFH127" s="5"/>
      <c r="AFI127" s="5"/>
      <c r="AFJ127" s="5"/>
      <c r="AFK127" s="5"/>
      <c r="AFL127" s="5"/>
      <c r="AFM127" s="5"/>
      <c r="AFN127" s="5"/>
      <c r="AFO127" s="5"/>
      <c r="AFP127" s="5"/>
      <c r="AFQ127" s="5"/>
      <c r="AFR127" s="5"/>
      <c r="AFS127" s="5"/>
      <c r="AFT127" s="5"/>
      <c r="AFU127" s="5"/>
      <c r="AFV127" s="5"/>
      <c r="AFW127" s="5"/>
      <c r="AFX127" s="5"/>
      <c r="AFY127" s="5"/>
      <c r="AFZ127" s="5"/>
      <c r="AGA127" s="5"/>
      <c r="AGB127" s="5"/>
      <c r="AGC127" s="5"/>
      <c r="AGD127" s="5"/>
      <c r="AGE127" s="5"/>
      <c r="AGF127" s="5"/>
      <c r="AGG127" s="5"/>
      <c r="AGH127" s="5"/>
      <c r="AGI127" s="5"/>
      <c r="AGJ127" s="5"/>
      <c r="AGK127" s="5"/>
      <c r="AGL127" s="5"/>
      <c r="AGM127" s="5"/>
      <c r="AGN127" s="5"/>
      <c r="AGO127" s="5"/>
      <c r="AGP127" s="5"/>
      <c r="AGQ127" s="5"/>
      <c r="AGR127" s="5"/>
      <c r="AGS127" s="5"/>
      <c r="AGT127" s="5"/>
      <c r="AGU127" s="5"/>
      <c r="AGV127" s="5"/>
      <c r="AGW127" s="5"/>
      <c r="AGX127" s="5"/>
      <c r="AGY127" s="5"/>
      <c r="AGZ127" s="5"/>
      <c r="AHA127" s="5"/>
      <c r="AHB127" s="5"/>
      <c r="AHC127" s="5"/>
      <c r="AHD127" s="5"/>
      <c r="AHE127" s="5"/>
      <c r="AHF127" s="5"/>
      <c r="AHG127" s="5"/>
      <c r="AHH127" s="5"/>
      <c r="AHI127" s="5"/>
      <c r="AHJ127" s="5"/>
      <c r="AHK127" s="5"/>
      <c r="AHL127" s="5"/>
      <c r="AHM127" s="5"/>
      <c r="AHN127" s="5"/>
      <c r="AHO127" s="5"/>
      <c r="AHP127" s="5"/>
      <c r="AHQ127" s="5"/>
      <c r="AHR127" s="5"/>
      <c r="AHS127" s="5"/>
      <c r="AHT127" s="5"/>
      <c r="AHU127" s="5"/>
      <c r="AHV127" s="5"/>
      <c r="AHW127" s="5"/>
      <c r="AHX127" s="5"/>
      <c r="AHY127" s="5"/>
      <c r="AHZ127" s="5"/>
      <c r="AIA127" s="5"/>
      <c r="AIB127" s="5"/>
      <c r="AIC127" s="5"/>
      <c r="AID127" s="5"/>
      <c r="AIE127" s="5"/>
      <c r="AIF127" s="5"/>
      <c r="AIG127" s="5"/>
      <c r="AIH127" s="5"/>
      <c r="AII127" s="5"/>
      <c r="AIJ127" s="5"/>
      <c r="AIK127" s="5"/>
      <c r="AIL127" s="5"/>
      <c r="AIM127" s="5"/>
      <c r="AIN127" s="5"/>
      <c r="AIO127" s="5"/>
      <c r="AIP127" s="5"/>
      <c r="AIQ127" s="5"/>
      <c r="AIR127" s="5"/>
      <c r="AIS127" s="5"/>
      <c r="AIT127" s="5"/>
      <c r="AIU127" s="5"/>
      <c r="AIV127" s="5"/>
      <c r="AIW127" s="5"/>
      <c r="AIX127" s="5"/>
      <c r="AIY127" s="5"/>
      <c r="AIZ127" s="5"/>
      <c r="AJA127" s="5"/>
      <c r="AJB127" s="5"/>
      <c r="AJC127" s="5"/>
      <c r="AJD127" s="5"/>
      <c r="AJE127" s="5"/>
      <c r="AJF127" s="5"/>
      <c r="AJG127" s="5"/>
      <c r="AJH127" s="5"/>
      <c r="AJI127" s="5"/>
      <c r="AJJ127" s="5"/>
      <c r="AJK127" s="5"/>
      <c r="AJL127" s="5"/>
      <c r="AJM127" s="5"/>
      <c r="AJN127" s="5"/>
      <c r="AJO127" s="5"/>
      <c r="AJP127" s="5"/>
      <c r="AJQ127" s="5"/>
      <c r="AJR127" s="5"/>
      <c r="AJS127" s="5"/>
      <c r="AJT127" s="5"/>
      <c r="AJU127" s="5"/>
      <c r="AJV127" s="5"/>
      <c r="AJW127" s="5"/>
      <c r="AJX127" s="5"/>
      <c r="AJY127" s="5"/>
      <c r="AJZ127" s="5"/>
      <c r="AKA127" s="5"/>
      <c r="AKB127" s="5"/>
      <c r="AKC127" s="5"/>
      <c r="AKD127" s="5"/>
      <c r="AKE127" s="5"/>
      <c r="AKF127" s="5"/>
      <c r="AKG127" s="5"/>
      <c r="AKH127" s="5"/>
      <c r="AKI127" s="5"/>
      <c r="AKJ127" s="5"/>
      <c r="AKK127" s="5"/>
      <c r="AKL127" s="5"/>
      <c r="AKM127" s="5"/>
      <c r="AKN127" s="5"/>
      <c r="AKO127" s="5"/>
      <c r="AKP127" s="5"/>
      <c r="AKQ127" s="5"/>
      <c r="AKR127" s="5"/>
      <c r="AKS127" s="5"/>
      <c r="AKT127" s="5"/>
      <c r="AKU127" s="5"/>
      <c r="AKV127" s="5"/>
      <c r="AKW127" s="5"/>
      <c r="AKX127" s="5"/>
      <c r="AKY127" s="5"/>
      <c r="AKZ127" s="5"/>
      <c r="ALA127" s="5"/>
      <c r="ALB127" s="5"/>
      <c r="ALC127" s="5"/>
      <c r="ALD127" s="5"/>
      <c r="ALE127" s="5"/>
      <c r="ALF127" s="5"/>
      <c r="ALG127" s="5"/>
      <c r="ALH127" s="5"/>
      <c r="ALI127" s="5"/>
      <c r="ALJ127" s="5"/>
      <c r="ALK127" s="5"/>
      <c r="ALL127" s="5"/>
      <c r="ALM127" s="5"/>
      <c r="ALN127" s="5"/>
      <c r="ALO127" s="5"/>
      <c r="ALP127" s="5"/>
      <c r="ALQ127" s="5"/>
      <c r="ALR127" s="5"/>
      <c r="ALS127" s="5"/>
      <c r="ALT127" s="5"/>
      <c r="ALU127" s="5"/>
      <c r="ALV127" s="5"/>
      <c r="ALW127" s="5"/>
      <c r="ALX127" s="5"/>
      <c r="ALY127" s="5"/>
      <c r="ALZ127" s="5"/>
      <c r="AMA127" s="5"/>
      <c r="AMB127" s="5"/>
      <c r="AMC127" s="5"/>
      <c r="AMD127" s="5"/>
      <c r="AME127" s="5"/>
      <c r="AMF127" s="5"/>
      <c r="AMG127" s="5"/>
      <c r="AMH127" s="5"/>
      <c r="AMI127" s="5"/>
      <c r="AMJ127" s="5"/>
      <c r="AMK127" s="5"/>
      <c r="AML127" s="5"/>
      <c r="AMM127" s="5"/>
      <c r="AMN127" s="5"/>
      <c r="AMO127" s="5"/>
      <c r="AMP127" s="5"/>
      <c r="AMQ127" s="5"/>
      <c r="AMR127" s="5"/>
      <c r="AMS127" s="5"/>
      <c r="AMT127" s="5"/>
      <c r="AMU127" s="5"/>
      <c r="AMV127" s="5"/>
      <c r="AMW127" s="5"/>
      <c r="AMX127" s="5"/>
      <c r="AMY127" s="5"/>
      <c r="AMZ127" s="5"/>
      <c r="ANA127" s="5"/>
      <c r="ANB127" s="5"/>
      <c r="ANC127" s="5"/>
      <c r="AND127" s="5"/>
      <c r="ANE127" s="5"/>
      <c r="ANF127" s="5"/>
      <c r="ANG127" s="5"/>
      <c r="ANH127" s="5"/>
      <c r="ANI127" s="5"/>
      <c r="ANJ127" s="5"/>
      <c r="ANK127" s="5"/>
      <c r="ANL127" s="5"/>
      <c r="ANM127" s="5"/>
      <c r="ANN127" s="5"/>
      <c r="ANO127" s="5"/>
      <c r="ANP127" s="5"/>
      <c r="ANQ127" s="5"/>
      <c r="ANR127" s="5"/>
      <c r="ANS127" s="5"/>
      <c r="ANT127" s="5"/>
      <c r="ANU127" s="5"/>
      <c r="ANV127" s="5"/>
      <c r="ANW127" s="5"/>
      <c r="ANX127" s="5"/>
      <c r="ANY127" s="5"/>
      <c r="ANZ127" s="5"/>
      <c r="AOA127" s="5"/>
      <c r="AOB127" s="5"/>
      <c r="AOC127" s="5"/>
      <c r="AOD127" s="5"/>
      <c r="AOE127" s="5"/>
      <c r="AOF127" s="5"/>
      <c r="AOG127" s="5"/>
      <c r="AOH127" s="5"/>
      <c r="AOI127" s="5"/>
      <c r="AOJ127" s="5"/>
      <c r="AOK127" s="5"/>
      <c r="AOL127" s="5"/>
      <c r="AOM127" s="5"/>
      <c r="AON127" s="5"/>
      <c r="AOO127" s="5"/>
      <c r="AOP127" s="5"/>
      <c r="AOQ127" s="5"/>
      <c r="AOR127" s="5"/>
      <c r="AOS127" s="5"/>
      <c r="AOT127" s="5"/>
      <c r="AOU127" s="5"/>
      <c r="AOV127" s="5"/>
      <c r="AOW127" s="5"/>
      <c r="AOX127" s="5"/>
      <c r="AOY127" s="5"/>
      <c r="AOZ127" s="5"/>
      <c r="APA127" s="5"/>
      <c r="APB127" s="5"/>
      <c r="APC127" s="5"/>
      <c r="APD127" s="5"/>
      <c r="APE127" s="5"/>
      <c r="APF127" s="5"/>
      <c r="APG127" s="5"/>
      <c r="APH127" s="5"/>
      <c r="API127" s="5"/>
      <c r="APJ127" s="5"/>
      <c r="APK127" s="5"/>
      <c r="APL127" s="5"/>
      <c r="APM127" s="5"/>
      <c r="APN127" s="5"/>
      <c r="APO127" s="5"/>
      <c r="APP127" s="5"/>
      <c r="APQ127" s="5"/>
      <c r="APR127" s="5"/>
      <c r="APS127" s="5"/>
      <c r="APT127" s="5"/>
      <c r="APU127" s="5"/>
      <c r="APV127" s="5"/>
      <c r="APW127" s="5"/>
      <c r="APX127" s="5"/>
      <c r="APY127" s="5"/>
      <c r="APZ127" s="5"/>
      <c r="AQA127" s="5"/>
      <c r="AQB127" s="5"/>
      <c r="AQC127" s="5"/>
      <c r="AQD127" s="5"/>
      <c r="AQE127" s="5"/>
      <c r="AQF127" s="5"/>
      <c r="AQG127" s="5"/>
      <c r="AQH127" s="5"/>
      <c r="AQI127" s="5"/>
      <c r="AQJ127" s="5"/>
      <c r="AQK127" s="5"/>
      <c r="AQL127" s="5"/>
      <c r="AQM127" s="5"/>
      <c r="AQN127" s="5"/>
      <c r="AQO127" s="5"/>
      <c r="AQP127" s="5"/>
      <c r="AQQ127" s="5"/>
      <c r="AQR127" s="5"/>
      <c r="AQS127" s="5"/>
      <c r="AQT127" s="5"/>
      <c r="AQU127" s="5"/>
      <c r="AQV127" s="5"/>
      <c r="AQW127" s="5"/>
      <c r="AQX127" s="5"/>
      <c r="AQY127" s="5"/>
      <c r="AQZ127" s="5"/>
      <c r="ARA127" s="5"/>
      <c r="ARB127" s="5"/>
      <c r="ARC127" s="5"/>
      <c r="ARD127" s="5"/>
      <c r="ARE127" s="5"/>
      <c r="ARF127" s="5"/>
      <c r="ARG127" s="5"/>
      <c r="ARH127" s="5"/>
      <c r="ARI127" s="5"/>
      <c r="ARJ127" s="5"/>
      <c r="ARK127" s="5"/>
      <c r="ARL127" s="5"/>
      <c r="ARM127" s="5"/>
      <c r="ARN127" s="5"/>
      <c r="ARO127" s="5"/>
      <c r="ARP127" s="5"/>
      <c r="ARQ127" s="5"/>
      <c r="ARR127" s="5"/>
      <c r="ARS127" s="5"/>
      <c r="ART127" s="5"/>
      <c r="ARU127" s="5"/>
      <c r="ARV127" s="5"/>
      <c r="ARW127" s="5"/>
      <c r="ARX127" s="5"/>
      <c r="ARY127" s="5"/>
      <c r="ARZ127" s="5"/>
      <c r="ASA127" s="5"/>
      <c r="ASB127" s="5"/>
      <c r="ASC127" s="5"/>
      <c r="ASD127" s="5"/>
      <c r="ASE127" s="5"/>
      <c r="ASF127" s="5"/>
      <c r="ASG127" s="5"/>
      <c r="ASH127" s="5"/>
      <c r="ASI127" s="5"/>
      <c r="ASJ127" s="5"/>
      <c r="ASK127" s="5"/>
      <c r="ASL127" s="5"/>
      <c r="ASM127" s="5"/>
      <c r="ASN127" s="5"/>
      <c r="ASO127" s="5"/>
      <c r="ASP127" s="5"/>
      <c r="ASQ127" s="5"/>
      <c r="ASR127" s="5"/>
      <c r="ASS127" s="5"/>
      <c r="AST127" s="5"/>
      <c r="ASU127" s="5"/>
      <c r="ASV127" s="5"/>
      <c r="ASW127" s="5"/>
      <c r="ASX127" s="5"/>
      <c r="ASY127" s="5"/>
      <c r="ASZ127" s="5"/>
      <c r="ATA127" s="5"/>
      <c r="ATB127" s="5"/>
      <c r="ATC127" s="5"/>
      <c r="ATD127" s="5"/>
      <c r="ATE127" s="5"/>
      <c r="ATF127" s="5"/>
      <c r="ATG127" s="5"/>
      <c r="ATH127" s="5"/>
      <c r="ATI127" s="5"/>
      <c r="ATJ127" s="5"/>
      <c r="ATK127" s="5"/>
      <c r="ATL127" s="5"/>
      <c r="ATM127" s="5"/>
      <c r="ATN127" s="5"/>
      <c r="ATO127" s="5"/>
      <c r="ATP127" s="5"/>
      <c r="ATQ127" s="5"/>
      <c r="ATR127" s="5"/>
      <c r="ATS127" s="5"/>
      <c r="ATT127" s="5"/>
      <c r="ATU127" s="5"/>
      <c r="ATV127" s="5"/>
      <c r="ATW127" s="5"/>
      <c r="ATX127" s="5"/>
      <c r="ATY127" s="5"/>
      <c r="ATZ127" s="5"/>
      <c r="AUA127" s="5"/>
      <c r="AUB127" s="5"/>
      <c r="AUC127" s="5"/>
      <c r="AUD127" s="5"/>
      <c r="AUE127" s="5"/>
      <c r="AUF127" s="5"/>
      <c r="AUG127" s="5"/>
      <c r="AUH127" s="5"/>
      <c r="AUI127" s="5"/>
      <c r="AUJ127" s="5"/>
      <c r="AUK127" s="5"/>
      <c r="AUL127" s="5"/>
      <c r="AUM127" s="5"/>
      <c r="AUN127" s="5"/>
      <c r="AUO127" s="5"/>
      <c r="AUP127" s="5"/>
      <c r="AUQ127" s="5"/>
      <c r="AUR127" s="5"/>
      <c r="AUS127" s="5"/>
      <c r="AUT127" s="5"/>
      <c r="AUU127" s="5"/>
      <c r="AUV127" s="5"/>
      <c r="AUW127" s="5"/>
      <c r="AUX127" s="5"/>
      <c r="AUY127" s="5"/>
      <c r="AUZ127" s="5"/>
      <c r="AVA127" s="5"/>
      <c r="AVB127" s="5"/>
      <c r="AVC127" s="5"/>
      <c r="AVD127" s="5"/>
      <c r="AVE127" s="5"/>
      <c r="AVF127" s="5"/>
      <c r="AVG127" s="5"/>
      <c r="AVH127" s="5"/>
      <c r="AVI127" s="5"/>
      <c r="AVJ127" s="5"/>
      <c r="AVK127" s="5"/>
      <c r="AVL127" s="5"/>
      <c r="AVM127" s="5"/>
      <c r="AVN127" s="5"/>
      <c r="AVO127" s="5"/>
      <c r="AVP127" s="5"/>
      <c r="AVQ127" s="5"/>
      <c r="AVR127" s="5"/>
      <c r="AVS127" s="5"/>
      <c r="AVT127" s="5"/>
      <c r="AVU127" s="5"/>
      <c r="AVV127" s="5"/>
      <c r="AVW127" s="5"/>
      <c r="AVX127" s="5"/>
      <c r="AVY127" s="5"/>
      <c r="AVZ127" s="5"/>
      <c r="AWA127" s="5"/>
      <c r="AWB127" s="5"/>
      <c r="AWC127" s="5"/>
      <c r="AWD127" s="5"/>
      <c r="AWE127" s="5"/>
      <c r="AWF127" s="5"/>
      <c r="AWG127" s="5"/>
      <c r="AWH127" s="5"/>
      <c r="AWI127" s="5"/>
      <c r="AWJ127" s="5"/>
      <c r="AWK127" s="5"/>
      <c r="AWL127" s="5"/>
      <c r="AWM127" s="5"/>
      <c r="AWN127" s="5"/>
      <c r="AWO127" s="5"/>
      <c r="AWP127" s="5"/>
      <c r="AWQ127" s="5"/>
      <c r="AWR127" s="5"/>
      <c r="AWS127" s="5"/>
      <c r="AWT127" s="5"/>
      <c r="AWU127" s="5"/>
      <c r="AWV127" s="5"/>
      <c r="AWW127" s="5"/>
      <c r="AWX127" s="5"/>
      <c r="AWY127" s="5"/>
      <c r="AWZ127" s="5"/>
      <c r="AXA127" s="5"/>
      <c r="AXB127" s="5"/>
      <c r="AXC127" s="5"/>
      <c r="AXD127" s="5"/>
      <c r="AXE127" s="5"/>
      <c r="AXF127" s="5"/>
      <c r="AXG127" s="5"/>
      <c r="AXH127" s="5"/>
      <c r="AXI127" s="5"/>
      <c r="AXJ127" s="5"/>
      <c r="AXK127" s="5"/>
      <c r="AXL127" s="5"/>
      <c r="AXM127" s="5"/>
      <c r="AXN127" s="5"/>
      <c r="AXO127" s="5"/>
      <c r="AXP127" s="5"/>
      <c r="AXQ127" s="5"/>
      <c r="AXR127" s="5"/>
      <c r="AXS127" s="5"/>
      <c r="AXT127" s="5"/>
      <c r="AXU127" s="5"/>
      <c r="AXV127" s="5"/>
      <c r="AXW127" s="5"/>
      <c r="AXX127" s="5"/>
      <c r="AXY127" s="5"/>
      <c r="AXZ127" s="5"/>
      <c r="AYA127" s="5"/>
      <c r="AYB127" s="5"/>
      <c r="AYC127" s="5"/>
      <c r="AYD127" s="5"/>
      <c r="AYE127" s="5"/>
      <c r="AYF127" s="5"/>
      <c r="AYG127" s="5"/>
      <c r="AYH127" s="5"/>
      <c r="AYI127" s="5"/>
      <c r="AYJ127" s="5"/>
      <c r="AYK127" s="5"/>
      <c r="AYL127" s="5"/>
      <c r="AYM127" s="5"/>
      <c r="AYN127" s="5"/>
      <c r="AYO127" s="5"/>
      <c r="AYP127" s="5"/>
      <c r="AYQ127" s="5"/>
      <c r="AYR127" s="5"/>
      <c r="AYS127" s="5"/>
      <c r="AYT127" s="5"/>
      <c r="AYU127" s="5"/>
      <c r="AYV127" s="5"/>
      <c r="AYW127" s="5"/>
      <c r="AYX127" s="5"/>
      <c r="AYY127" s="5"/>
      <c r="AYZ127" s="5"/>
      <c r="AZA127" s="5"/>
      <c r="AZB127" s="5"/>
      <c r="AZC127" s="5"/>
      <c r="AZD127" s="5"/>
      <c r="AZE127" s="5"/>
      <c r="AZF127" s="5"/>
      <c r="AZG127" s="5"/>
      <c r="AZH127" s="5"/>
      <c r="AZI127" s="5"/>
      <c r="AZJ127" s="5"/>
      <c r="AZK127" s="5"/>
      <c r="AZL127" s="5"/>
      <c r="AZM127" s="5"/>
      <c r="AZN127" s="5"/>
      <c r="AZO127" s="5"/>
      <c r="AZP127" s="5"/>
      <c r="AZQ127" s="5"/>
      <c r="AZR127" s="5"/>
      <c r="AZS127" s="5"/>
      <c r="AZT127" s="5"/>
      <c r="AZU127" s="5"/>
      <c r="AZV127" s="5"/>
      <c r="AZW127" s="5"/>
      <c r="AZX127" s="5"/>
      <c r="AZY127" s="5"/>
      <c r="AZZ127" s="5"/>
      <c r="BAA127" s="5"/>
      <c r="BAB127" s="5"/>
      <c r="BAC127" s="5"/>
      <c r="BAD127" s="5"/>
      <c r="BAE127" s="5"/>
      <c r="BAF127" s="5"/>
      <c r="BAG127" s="5"/>
      <c r="BAH127" s="5"/>
      <c r="BAI127" s="5"/>
      <c r="BAJ127" s="5"/>
      <c r="BAK127" s="5"/>
      <c r="BAL127" s="5"/>
      <c r="BAM127" s="5"/>
      <c r="BAN127" s="5"/>
      <c r="BAO127" s="5"/>
      <c r="BAP127" s="5"/>
      <c r="BAQ127" s="5"/>
      <c r="BAR127" s="5"/>
      <c r="BAS127" s="5"/>
      <c r="BAT127" s="5"/>
      <c r="BAU127" s="5"/>
      <c r="BAV127" s="5"/>
      <c r="BAW127" s="5"/>
      <c r="BAX127" s="5"/>
      <c r="BAY127" s="5"/>
      <c r="BAZ127" s="5"/>
      <c r="BBA127" s="5"/>
      <c r="BBB127" s="5"/>
      <c r="BBC127" s="5"/>
      <c r="BBD127" s="5"/>
      <c r="BBE127" s="5"/>
      <c r="BBF127" s="5"/>
      <c r="BBG127" s="5"/>
      <c r="BBH127" s="5"/>
      <c r="BBI127" s="5"/>
      <c r="BBJ127" s="5"/>
      <c r="BBK127" s="5"/>
      <c r="BBL127" s="5"/>
      <c r="BBM127" s="5"/>
      <c r="BBN127" s="5"/>
      <c r="BBO127" s="5"/>
      <c r="BBP127" s="5"/>
      <c r="BBQ127" s="5"/>
      <c r="BBR127" s="5"/>
      <c r="BBS127" s="5"/>
      <c r="BBT127" s="5"/>
      <c r="BBU127" s="5"/>
      <c r="BBV127" s="5"/>
      <c r="BBW127" s="5"/>
      <c r="BBX127" s="5"/>
      <c r="BBY127" s="5"/>
      <c r="BBZ127" s="5"/>
      <c r="BCA127" s="5"/>
      <c r="BCB127" s="5"/>
      <c r="BCC127" s="5"/>
      <c r="BCD127" s="5"/>
      <c r="BCE127" s="5"/>
      <c r="BCF127" s="5"/>
      <c r="BCG127" s="5"/>
      <c r="BCH127" s="5"/>
      <c r="BCI127" s="5"/>
      <c r="BCJ127" s="5"/>
      <c r="BCK127" s="5"/>
      <c r="BCL127" s="5"/>
      <c r="BCM127" s="5"/>
      <c r="BCN127" s="5"/>
      <c r="BCO127" s="5"/>
      <c r="BCP127" s="5"/>
      <c r="BCQ127" s="5"/>
      <c r="BCR127" s="5"/>
      <c r="BCS127" s="5"/>
      <c r="BCT127" s="5"/>
      <c r="BCU127" s="5"/>
      <c r="BCV127" s="5"/>
      <c r="BCW127" s="5"/>
      <c r="BCX127" s="5"/>
      <c r="BCY127" s="5"/>
      <c r="BCZ127" s="5"/>
      <c r="BDA127" s="5"/>
      <c r="BDB127" s="5"/>
      <c r="BDC127" s="5"/>
      <c r="BDD127" s="5"/>
      <c r="BDE127" s="5"/>
      <c r="BDF127" s="5"/>
      <c r="BDG127" s="5"/>
      <c r="BDH127" s="5"/>
      <c r="BDI127" s="5"/>
      <c r="BDJ127" s="5"/>
      <c r="BDK127" s="5"/>
      <c r="BDL127" s="5"/>
      <c r="BDM127" s="5"/>
      <c r="BDN127" s="5"/>
      <c r="BDO127" s="5"/>
      <c r="BDP127" s="5"/>
      <c r="BDQ127" s="5"/>
      <c r="BDR127" s="5"/>
      <c r="BDS127" s="5"/>
      <c r="BDT127" s="5"/>
      <c r="BDU127" s="5"/>
      <c r="BDV127" s="5"/>
      <c r="BDW127" s="5"/>
      <c r="BDX127" s="5"/>
      <c r="BDY127" s="5"/>
      <c r="BDZ127" s="5"/>
      <c r="BEA127" s="5"/>
      <c r="BEB127" s="5"/>
      <c r="BEC127" s="5"/>
      <c r="BED127" s="5"/>
      <c r="BEE127" s="5"/>
      <c r="BEF127" s="5"/>
      <c r="BEG127" s="5"/>
      <c r="BEH127" s="5"/>
      <c r="BEI127" s="5"/>
      <c r="BEJ127" s="5"/>
      <c r="BEK127" s="5"/>
      <c r="BEL127" s="5"/>
      <c r="BEM127" s="5"/>
      <c r="BEN127" s="5"/>
      <c r="BEO127" s="5"/>
      <c r="BEP127" s="5"/>
      <c r="BEQ127" s="5"/>
      <c r="BER127" s="5"/>
      <c r="BES127" s="5"/>
      <c r="BET127" s="5"/>
      <c r="BEU127" s="5"/>
      <c r="BEV127" s="5"/>
      <c r="BEW127" s="5"/>
      <c r="BEX127" s="5"/>
      <c r="BEY127" s="5"/>
      <c r="BEZ127" s="5"/>
      <c r="BFA127" s="5"/>
      <c r="BFB127" s="5"/>
      <c r="BFC127" s="5"/>
      <c r="BFD127" s="5"/>
      <c r="BFE127" s="5"/>
      <c r="BFF127" s="5"/>
      <c r="BFG127" s="5"/>
      <c r="BFH127" s="5"/>
      <c r="BFI127" s="5"/>
      <c r="BFJ127" s="5"/>
      <c r="BFK127" s="5"/>
      <c r="BFL127" s="5"/>
      <c r="BFM127" s="5"/>
      <c r="BFN127" s="5"/>
      <c r="BFO127" s="5"/>
      <c r="BFP127" s="5"/>
      <c r="BFQ127" s="5"/>
      <c r="BFR127" s="5"/>
      <c r="BFS127" s="5"/>
      <c r="BFT127" s="5"/>
      <c r="BFU127" s="5"/>
      <c r="BFV127" s="5"/>
      <c r="BFW127" s="5"/>
      <c r="BFX127" s="5"/>
      <c r="BFY127" s="5"/>
      <c r="BFZ127" s="5"/>
      <c r="BGA127" s="5"/>
      <c r="BGB127" s="5"/>
      <c r="BGC127" s="5"/>
      <c r="BGD127" s="5"/>
      <c r="BGE127" s="5"/>
      <c r="BGF127" s="5"/>
      <c r="BGG127" s="5"/>
      <c r="BGH127" s="5"/>
      <c r="BGI127" s="5"/>
      <c r="BGJ127" s="5"/>
      <c r="BGK127" s="5"/>
      <c r="BGL127" s="5"/>
      <c r="BGM127" s="5"/>
      <c r="BGN127" s="5"/>
      <c r="BGO127" s="5"/>
      <c r="BGP127" s="5"/>
      <c r="BGQ127" s="5"/>
      <c r="BGR127" s="5"/>
      <c r="BGS127" s="5"/>
      <c r="BGT127" s="5"/>
      <c r="BGU127" s="5"/>
      <c r="BGV127" s="5"/>
      <c r="BGW127" s="5"/>
      <c r="BGX127" s="5"/>
      <c r="BGY127" s="5"/>
      <c r="BGZ127" s="5"/>
      <c r="BHA127" s="5"/>
      <c r="BHB127" s="5"/>
      <c r="BHC127" s="5"/>
      <c r="BHD127" s="5"/>
      <c r="BHE127" s="5"/>
      <c r="BHF127" s="5"/>
      <c r="BHG127" s="5"/>
      <c r="BHH127" s="5"/>
      <c r="BHI127" s="5"/>
      <c r="BHJ127" s="5"/>
      <c r="BHK127" s="5"/>
      <c r="BHL127" s="5"/>
      <c r="BHM127" s="5"/>
      <c r="BHN127" s="5"/>
      <c r="BHO127" s="5"/>
      <c r="BHP127" s="5"/>
      <c r="BHQ127" s="5"/>
      <c r="BHR127" s="5"/>
      <c r="BHS127" s="5"/>
      <c r="BHT127" s="5"/>
      <c r="BHU127" s="5"/>
      <c r="BHV127" s="5"/>
      <c r="BHW127" s="5"/>
      <c r="BHX127" s="5"/>
      <c r="BHY127" s="5"/>
      <c r="BHZ127" s="5"/>
      <c r="BIA127" s="5"/>
      <c r="BIB127" s="5"/>
      <c r="BIC127" s="5"/>
      <c r="BID127" s="5"/>
      <c r="BIE127" s="5"/>
      <c r="BIF127" s="5"/>
      <c r="BIG127" s="5"/>
      <c r="BIH127" s="5"/>
      <c r="BII127" s="5"/>
      <c r="BIJ127" s="5"/>
      <c r="BIK127" s="5"/>
      <c r="BIL127" s="5"/>
      <c r="BIM127" s="5"/>
      <c r="BIN127" s="5"/>
      <c r="BIO127" s="5"/>
      <c r="BIP127" s="5"/>
      <c r="BIQ127" s="5"/>
      <c r="BIR127" s="5"/>
      <c r="BIS127" s="5"/>
      <c r="BIT127" s="5"/>
      <c r="BIU127" s="5"/>
      <c r="BIV127" s="5"/>
      <c r="BIW127" s="5"/>
      <c r="BIX127" s="5"/>
      <c r="BIY127" s="5"/>
      <c r="BIZ127" s="5"/>
      <c r="BJA127" s="5"/>
      <c r="BJB127" s="5"/>
      <c r="BJC127" s="5"/>
      <c r="BJD127" s="5"/>
      <c r="BJE127" s="5"/>
      <c r="BJF127" s="5"/>
      <c r="BJG127" s="5"/>
      <c r="BJH127" s="5"/>
      <c r="BJI127" s="5"/>
      <c r="BJJ127" s="5"/>
      <c r="BJK127" s="5"/>
      <c r="BJL127" s="5"/>
      <c r="BJM127" s="5"/>
      <c r="BJN127" s="5"/>
      <c r="BJO127" s="5"/>
      <c r="BJP127" s="5"/>
      <c r="BJQ127" s="5"/>
      <c r="BJR127" s="5"/>
      <c r="BJS127" s="5"/>
      <c r="BJT127" s="5"/>
      <c r="BJU127" s="5"/>
      <c r="BJV127" s="5"/>
      <c r="BJW127" s="5"/>
      <c r="BJX127" s="5"/>
      <c r="BJY127" s="5"/>
      <c r="BJZ127" s="5"/>
      <c r="BKA127" s="5"/>
      <c r="BKB127" s="5"/>
      <c r="BKC127" s="5"/>
      <c r="BKD127" s="5"/>
      <c r="BKE127" s="5"/>
      <c r="BKF127" s="5"/>
      <c r="BKG127" s="5"/>
      <c r="BKH127" s="5"/>
      <c r="BKI127" s="5"/>
      <c r="BKJ127" s="5"/>
      <c r="BKK127" s="5"/>
      <c r="BKL127" s="5"/>
      <c r="BKM127" s="5"/>
      <c r="BKN127" s="5"/>
      <c r="BKO127" s="5"/>
      <c r="BKP127" s="5"/>
      <c r="BKQ127" s="5"/>
      <c r="BKR127" s="5"/>
      <c r="BKS127" s="5"/>
      <c r="BKT127" s="5"/>
      <c r="BKU127" s="5"/>
      <c r="BKV127" s="5"/>
      <c r="BKW127" s="5"/>
      <c r="BKX127" s="5"/>
      <c r="BKY127" s="5"/>
      <c r="BKZ127" s="5"/>
      <c r="BLA127" s="5"/>
      <c r="BLB127" s="5"/>
      <c r="BLC127" s="5"/>
      <c r="BLD127" s="5"/>
      <c r="BLE127" s="5"/>
      <c r="BLF127" s="5"/>
      <c r="BLG127" s="5"/>
      <c r="BLH127" s="5"/>
      <c r="BLI127" s="5"/>
      <c r="BLJ127" s="5"/>
      <c r="BLK127" s="5"/>
      <c r="BLL127" s="5"/>
      <c r="BLM127" s="5"/>
      <c r="BLN127" s="5"/>
      <c r="BLO127" s="5"/>
      <c r="BLP127" s="5"/>
      <c r="BLQ127" s="5"/>
      <c r="BLR127" s="5"/>
      <c r="BLS127" s="5"/>
      <c r="BLT127" s="5"/>
      <c r="BLU127" s="5"/>
      <c r="BLV127" s="5"/>
      <c r="BLW127" s="5"/>
      <c r="BLX127" s="5"/>
      <c r="BLY127" s="5"/>
      <c r="BLZ127" s="5"/>
      <c r="BMA127" s="5"/>
      <c r="BMB127" s="5"/>
      <c r="BMC127" s="5"/>
      <c r="BMD127" s="5"/>
      <c r="BME127" s="5"/>
      <c r="BMF127" s="5"/>
      <c r="BMG127" s="5"/>
      <c r="BMH127" s="5"/>
      <c r="BMI127" s="5"/>
      <c r="BMJ127" s="5"/>
      <c r="BMK127" s="5"/>
      <c r="BML127" s="5"/>
      <c r="BMM127" s="5"/>
      <c r="BMN127" s="5"/>
      <c r="BMO127" s="5"/>
      <c r="BMP127" s="5"/>
      <c r="BMQ127" s="5"/>
      <c r="BMR127" s="5"/>
      <c r="BMS127" s="5"/>
      <c r="BMT127" s="5"/>
      <c r="BMU127" s="5"/>
      <c r="BMV127" s="5"/>
      <c r="BMW127" s="5"/>
      <c r="BMX127" s="5"/>
      <c r="BMY127" s="5"/>
      <c r="BMZ127" s="5"/>
      <c r="BNA127" s="5"/>
      <c r="BNB127" s="5"/>
      <c r="BNC127" s="5"/>
      <c r="BND127" s="5"/>
      <c r="BNE127" s="5"/>
      <c r="BNF127" s="5"/>
      <c r="BNG127" s="5"/>
      <c r="BNH127" s="5"/>
      <c r="BNI127" s="5"/>
      <c r="BNJ127" s="5"/>
      <c r="BNK127" s="5"/>
      <c r="BNL127" s="5"/>
      <c r="BNM127" s="5"/>
      <c r="BNN127" s="5"/>
      <c r="BNO127" s="5"/>
      <c r="BNP127" s="5"/>
      <c r="BNQ127" s="5"/>
      <c r="BNR127" s="5"/>
      <c r="BNS127" s="5"/>
      <c r="BNT127" s="5"/>
      <c r="BNU127" s="5"/>
      <c r="BNV127" s="5"/>
      <c r="BNW127" s="5"/>
      <c r="BNX127" s="5"/>
      <c r="BNY127" s="5"/>
      <c r="BNZ127" s="5"/>
      <c r="BOA127" s="5"/>
      <c r="BOB127" s="5"/>
      <c r="BOC127" s="5"/>
      <c r="BOD127" s="5"/>
      <c r="BOE127" s="5"/>
      <c r="BOF127" s="5"/>
      <c r="BOG127" s="5"/>
      <c r="BOH127" s="5"/>
      <c r="BOI127" s="5"/>
      <c r="BOJ127" s="5"/>
      <c r="BOK127" s="5"/>
      <c r="BOL127" s="5"/>
      <c r="BOM127" s="5"/>
      <c r="BON127" s="5"/>
      <c r="BOO127" s="5"/>
      <c r="BOP127" s="5"/>
      <c r="BOQ127" s="5"/>
      <c r="BOR127" s="5"/>
      <c r="BOS127" s="5"/>
      <c r="BOT127" s="5"/>
      <c r="BOU127" s="5"/>
      <c r="BOV127" s="5"/>
      <c r="BOW127" s="5"/>
      <c r="BOX127" s="5"/>
      <c r="BOY127" s="5"/>
      <c r="BOZ127" s="5"/>
      <c r="BPA127" s="5"/>
      <c r="BPB127" s="5"/>
      <c r="BPC127" s="5"/>
      <c r="BPD127" s="5"/>
      <c r="BPE127" s="5"/>
      <c r="BPF127" s="5"/>
      <c r="BPG127" s="5"/>
      <c r="BPH127" s="5"/>
      <c r="BPI127" s="5"/>
      <c r="BPJ127" s="5"/>
      <c r="BPK127" s="5"/>
      <c r="BPL127" s="5"/>
      <c r="BPM127" s="5"/>
      <c r="BPN127" s="5"/>
      <c r="BPO127" s="5"/>
      <c r="BPP127" s="5"/>
      <c r="BPQ127" s="5"/>
      <c r="BPR127" s="5"/>
      <c r="BPS127" s="5"/>
      <c r="BPT127" s="5"/>
      <c r="BPU127" s="5"/>
      <c r="BPV127" s="5"/>
      <c r="BPW127" s="5"/>
      <c r="BPX127" s="5"/>
      <c r="BPY127" s="5"/>
      <c r="BPZ127" s="5"/>
      <c r="BQA127" s="5"/>
      <c r="BQB127" s="5"/>
      <c r="BQC127" s="5"/>
      <c r="BQD127" s="5"/>
      <c r="BQE127" s="5"/>
      <c r="BQF127" s="5"/>
      <c r="BQG127" s="5"/>
      <c r="BQH127" s="5"/>
      <c r="BQI127" s="5"/>
      <c r="BQJ127" s="5"/>
      <c r="BQK127" s="5"/>
      <c r="BQL127" s="5"/>
      <c r="BQM127" s="5"/>
      <c r="BQN127" s="5"/>
      <c r="BQO127" s="5"/>
      <c r="BQP127" s="5"/>
      <c r="BQQ127" s="5"/>
      <c r="BQR127" s="5"/>
      <c r="BQS127" s="5"/>
      <c r="BQT127" s="5"/>
      <c r="BQU127" s="5"/>
      <c r="BQV127" s="5"/>
      <c r="BQW127" s="5"/>
      <c r="BQX127" s="5"/>
      <c r="BQY127" s="5"/>
      <c r="BQZ127" s="5"/>
      <c r="BRA127" s="5"/>
      <c r="BRB127" s="5"/>
      <c r="BRC127" s="5"/>
      <c r="BRD127" s="5"/>
      <c r="BRE127" s="5"/>
      <c r="BRF127" s="5"/>
      <c r="BRG127" s="5"/>
      <c r="BRH127" s="5"/>
      <c r="BRI127" s="5"/>
      <c r="BRJ127" s="5"/>
      <c r="BRK127" s="5"/>
      <c r="BRL127" s="5"/>
      <c r="BRM127" s="5"/>
      <c r="BRN127" s="5"/>
      <c r="BRO127" s="5"/>
      <c r="BRP127" s="5"/>
      <c r="BRQ127" s="5"/>
      <c r="BRR127" s="5"/>
      <c r="BRS127" s="5"/>
      <c r="BRT127" s="5"/>
      <c r="BRU127" s="5"/>
      <c r="BRV127" s="5"/>
      <c r="BRW127" s="5"/>
      <c r="BRX127" s="5"/>
      <c r="BRY127" s="5"/>
      <c r="BRZ127" s="5"/>
      <c r="BSA127" s="5"/>
      <c r="BSB127" s="5"/>
      <c r="BSC127" s="5"/>
      <c r="BSD127" s="5"/>
      <c r="BSE127" s="5"/>
      <c r="BSF127" s="5"/>
      <c r="BSG127" s="5"/>
      <c r="BSH127" s="5"/>
      <c r="BSI127" s="5"/>
      <c r="BSJ127" s="5"/>
      <c r="BSK127" s="5"/>
      <c r="BSL127" s="5"/>
      <c r="BSM127" s="5"/>
      <c r="BSN127" s="5"/>
      <c r="BSO127" s="5"/>
      <c r="BSP127" s="5"/>
      <c r="BSQ127" s="5"/>
      <c r="BSR127" s="5"/>
      <c r="BSS127" s="5"/>
      <c r="BST127" s="5"/>
      <c r="BSU127" s="5"/>
      <c r="BSV127" s="5"/>
      <c r="BSW127" s="5"/>
      <c r="BSX127" s="5"/>
      <c r="BSY127" s="5"/>
      <c r="BSZ127" s="5"/>
      <c r="BTA127" s="5"/>
      <c r="BTB127" s="5"/>
      <c r="BTC127" s="5"/>
      <c r="BTD127" s="5"/>
      <c r="BTE127" s="5"/>
      <c r="BTF127" s="5"/>
      <c r="BTG127" s="5"/>
      <c r="BTH127" s="5"/>
      <c r="BTI127" s="5"/>
      <c r="BTJ127" s="5"/>
      <c r="BTK127" s="5"/>
      <c r="BTL127" s="5"/>
      <c r="BTM127" s="5"/>
      <c r="BTN127" s="5"/>
      <c r="BTO127" s="5"/>
      <c r="BTP127" s="5"/>
      <c r="BTQ127" s="5"/>
      <c r="BTR127" s="5"/>
      <c r="BTS127" s="5"/>
      <c r="BTT127" s="5"/>
      <c r="BTU127" s="5"/>
      <c r="BTV127" s="5"/>
      <c r="BTW127" s="5"/>
      <c r="BTX127" s="5"/>
      <c r="BTY127" s="5"/>
      <c r="BTZ127" s="5"/>
      <c r="BUA127" s="5"/>
      <c r="BUB127" s="5"/>
      <c r="BUC127" s="5"/>
      <c r="BUD127" s="5"/>
      <c r="BUE127" s="5"/>
      <c r="BUF127" s="5"/>
      <c r="BUG127" s="5"/>
      <c r="BUH127" s="5"/>
      <c r="BUI127" s="5"/>
      <c r="BUJ127" s="5"/>
      <c r="BUK127" s="5"/>
      <c r="BUL127" s="5"/>
      <c r="BUM127" s="5"/>
      <c r="BUN127" s="5"/>
      <c r="BUO127" s="5"/>
      <c r="BUP127" s="5"/>
      <c r="BUQ127" s="5"/>
      <c r="BUR127" s="5"/>
      <c r="BUS127" s="5"/>
      <c r="BUT127" s="5"/>
      <c r="BUU127" s="5"/>
      <c r="BUV127" s="5"/>
      <c r="BUW127" s="5"/>
      <c r="BUX127" s="5"/>
      <c r="BUY127" s="5"/>
      <c r="BUZ127" s="5"/>
      <c r="BVA127" s="5"/>
      <c r="BVB127" s="5"/>
      <c r="BVC127" s="5"/>
      <c r="BVD127" s="5"/>
      <c r="BVE127" s="5"/>
      <c r="BVF127" s="5"/>
      <c r="BVG127" s="5"/>
      <c r="BVH127" s="5"/>
      <c r="BVI127" s="5"/>
      <c r="BVJ127" s="5"/>
      <c r="BVK127" s="5"/>
      <c r="BVL127" s="5"/>
      <c r="BVM127" s="5"/>
      <c r="BVN127" s="5"/>
      <c r="BVO127" s="5"/>
      <c r="BVP127" s="5"/>
      <c r="BVQ127" s="5"/>
      <c r="BVR127" s="5"/>
      <c r="BVS127" s="5"/>
      <c r="BVT127" s="5"/>
      <c r="BVU127" s="5"/>
      <c r="BVV127" s="5"/>
      <c r="BVW127" s="5"/>
      <c r="BVX127" s="5"/>
      <c r="BVY127" s="5"/>
      <c r="BVZ127" s="5"/>
      <c r="BWA127" s="5"/>
      <c r="BWB127" s="5"/>
      <c r="BWC127" s="5"/>
      <c r="BWD127" s="5"/>
      <c r="BWE127" s="5"/>
      <c r="BWF127" s="5"/>
      <c r="BWG127" s="5"/>
      <c r="BWH127" s="5"/>
      <c r="BWI127" s="5"/>
      <c r="BWJ127" s="5"/>
      <c r="BWK127" s="5"/>
      <c r="BWL127" s="5"/>
      <c r="BWM127" s="5"/>
      <c r="BWN127" s="5"/>
      <c r="BWO127" s="5"/>
      <c r="BWP127" s="5"/>
      <c r="BWQ127" s="5"/>
      <c r="BWR127" s="5"/>
      <c r="BWS127" s="5"/>
      <c r="BWT127" s="5"/>
      <c r="BWU127" s="5"/>
      <c r="BWV127" s="5"/>
      <c r="BWW127" s="5"/>
      <c r="BWX127" s="5"/>
      <c r="BWY127" s="5"/>
      <c r="BWZ127" s="5"/>
      <c r="BXA127" s="5"/>
      <c r="BXB127" s="5"/>
      <c r="BXC127" s="5"/>
      <c r="BXD127" s="5"/>
      <c r="BXE127" s="5"/>
      <c r="BXF127" s="5"/>
      <c r="BXG127" s="5"/>
      <c r="BXH127" s="5"/>
      <c r="BXI127" s="5"/>
      <c r="BXJ127" s="5"/>
      <c r="BXK127" s="5"/>
      <c r="BXL127" s="5"/>
      <c r="BXM127" s="5"/>
      <c r="BXN127" s="5"/>
      <c r="BXO127" s="5"/>
      <c r="BXP127" s="5"/>
      <c r="BXQ127" s="5"/>
      <c r="BXR127" s="5"/>
      <c r="BXS127" s="5"/>
      <c r="BXT127" s="5"/>
      <c r="BXU127" s="5"/>
      <c r="BXV127" s="5"/>
      <c r="BXW127" s="5"/>
      <c r="BXX127" s="5"/>
      <c r="BXY127" s="5"/>
      <c r="BXZ127" s="5"/>
      <c r="BYA127" s="5"/>
      <c r="BYB127" s="5"/>
      <c r="BYC127" s="5"/>
      <c r="BYD127" s="5"/>
      <c r="BYE127" s="5"/>
      <c r="BYF127" s="5"/>
      <c r="BYG127" s="5"/>
      <c r="BYH127" s="5"/>
      <c r="BYI127" s="5"/>
      <c r="BYJ127" s="5"/>
      <c r="BYK127" s="5"/>
      <c r="BYL127" s="5"/>
      <c r="BYM127" s="5"/>
      <c r="BYN127" s="5"/>
      <c r="BYO127" s="5"/>
      <c r="BYP127" s="5"/>
      <c r="BYQ127" s="5"/>
      <c r="BYR127" s="5"/>
      <c r="BYS127" s="5"/>
      <c r="BYT127" s="5"/>
      <c r="BYU127" s="5"/>
      <c r="BYV127" s="5"/>
      <c r="BYW127" s="5"/>
      <c r="BYX127" s="5"/>
      <c r="BYY127" s="5"/>
      <c r="BYZ127" s="5"/>
      <c r="BZA127" s="5"/>
      <c r="BZB127" s="5"/>
      <c r="BZC127" s="5"/>
      <c r="BZD127" s="5"/>
      <c r="BZE127" s="5"/>
      <c r="BZF127" s="5"/>
      <c r="BZG127" s="5"/>
      <c r="BZH127" s="5"/>
      <c r="BZI127" s="5"/>
      <c r="BZJ127" s="5"/>
      <c r="BZK127" s="5"/>
      <c r="BZL127" s="5"/>
      <c r="BZM127" s="5"/>
      <c r="BZN127" s="5"/>
      <c r="BZO127" s="5"/>
      <c r="BZP127" s="5"/>
      <c r="BZQ127" s="5"/>
      <c r="BZR127" s="5"/>
      <c r="BZS127" s="5"/>
      <c r="BZT127" s="5"/>
      <c r="BZU127" s="5"/>
      <c r="BZV127" s="5"/>
      <c r="BZW127" s="5"/>
      <c r="BZX127" s="5"/>
      <c r="BZY127" s="5"/>
      <c r="BZZ127" s="5"/>
      <c r="CAA127" s="5"/>
      <c r="CAB127" s="5"/>
      <c r="CAC127" s="5"/>
      <c r="CAD127" s="5"/>
      <c r="CAE127" s="5"/>
      <c r="CAF127" s="5"/>
      <c r="CAG127" s="5"/>
      <c r="CAH127" s="5"/>
      <c r="CAI127" s="5"/>
      <c r="CAJ127" s="5"/>
      <c r="CAK127" s="5"/>
      <c r="CAL127" s="5"/>
      <c r="CAM127" s="5"/>
      <c r="CAN127" s="5"/>
      <c r="CAO127" s="5"/>
      <c r="CAP127" s="5"/>
      <c r="CAQ127" s="5"/>
      <c r="CAR127" s="5"/>
      <c r="CAS127" s="5"/>
      <c r="CAT127" s="5"/>
      <c r="CAU127" s="5"/>
      <c r="CAV127" s="5"/>
      <c r="CAW127" s="5"/>
      <c r="CAX127" s="5"/>
      <c r="CAY127" s="5"/>
      <c r="CAZ127" s="5"/>
      <c r="CBA127" s="5"/>
      <c r="CBB127" s="5"/>
      <c r="CBC127" s="5"/>
      <c r="CBD127" s="5"/>
      <c r="CBE127" s="5"/>
      <c r="CBF127" s="5"/>
      <c r="CBG127" s="5"/>
      <c r="CBH127" s="5"/>
      <c r="CBI127" s="5"/>
      <c r="CBJ127" s="5"/>
      <c r="CBK127" s="5"/>
      <c r="CBL127" s="5"/>
      <c r="CBM127" s="5"/>
      <c r="CBN127" s="5"/>
      <c r="CBO127" s="5"/>
      <c r="CBP127" s="5"/>
      <c r="CBQ127" s="5"/>
      <c r="CBR127" s="5"/>
      <c r="CBS127" s="5"/>
      <c r="CBT127" s="5"/>
      <c r="CBU127" s="5"/>
      <c r="CBV127" s="5"/>
      <c r="CBW127" s="5"/>
      <c r="CBX127" s="5"/>
      <c r="CBY127" s="5"/>
      <c r="CBZ127" s="5"/>
      <c r="CCA127" s="5"/>
      <c r="CCB127" s="5"/>
      <c r="CCC127" s="5"/>
      <c r="CCD127" s="5"/>
      <c r="CCE127" s="5"/>
      <c r="CCF127" s="5"/>
      <c r="CCG127" s="5"/>
      <c r="CCH127" s="5"/>
      <c r="CCI127" s="5"/>
      <c r="CCJ127" s="5"/>
      <c r="CCK127" s="5"/>
      <c r="CCL127" s="5"/>
      <c r="CCM127" s="5"/>
      <c r="CCN127" s="5"/>
      <c r="CCO127" s="5"/>
      <c r="CCP127" s="5"/>
      <c r="CCQ127" s="5"/>
      <c r="CCR127" s="5"/>
      <c r="CCS127" s="5"/>
      <c r="CCT127" s="5"/>
      <c r="CCU127" s="5"/>
      <c r="CCV127" s="5"/>
      <c r="CCW127" s="5"/>
      <c r="CCX127" s="5"/>
      <c r="CCY127" s="5"/>
      <c r="CCZ127" s="5"/>
      <c r="CDA127" s="5"/>
      <c r="CDB127" s="5"/>
      <c r="CDC127" s="5"/>
      <c r="CDD127" s="5"/>
      <c r="CDE127" s="5"/>
      <c r="CDF127" s="5"/>
      <c r="CDG127" s="5"/>
      <c r="CDH127" s="5"/>
      <c r="CDI127" s="5"/>
      <c r="CDJ127" s="5"/>
      <c r="CDK127" s="5"/>
      <c r="CDL127" s="5"/>
      <c r="CDM127" s="5"/>
      <c r="CDN127" s="5"/>
      <c r="CDO127" s="5"/>
      <c r="CDP127" s="5"/>
      <c r="CDQ127" s="5"/>
      <c r="CDR127" s="5"/>
      <c r="CDS127" s="5"/>
      <c r="CDT127" s="5"/>
      <c r="CDU127" s="5"/>
      <c r="CDV127" s="5"/>
      <c r="CDW127" s="5"/>
      <c r="CDX127" s="5"/>
      <c r="CDY127" s="5"/>
      <c r="CDZ127" s="5"/>
      <c r="CEA127" s="5"/>
      <c r="CEB127" s="5"/>
      <c r="CEC127" s="5"/>
      <c r="CED127" s="5"/>
      <c r="CEE127" s="5"/>
      <c r="CEF127" s="5"/>
      <c r="CEG127" s="5"/>
      <c r="CEH127" s="5"/>
      <c r="CEI127" s="5"/>
      <c r="CEJ127" s="5"/>
      <c r="CEK127" s="5"/>
      <c r="CEL127" s="5"/>
      <c r="CEM127" s="5"/>
      <c r="CEN127" s="5"/>
      <c r="CEO127" s="5"/>
      <c r="CEP127" s="5"/>
      <c r="CEQ127" s="5"/>
      <c r="CER127" s="5"/>
      <c r="CES127" s="5"/>
      <c r="CET127" s="5"/>
      <c r="CEU127" s="5"/>
      <c r="CEV127" s="5"/>
      <c r="CEW127" s="5"/>
      <c r="CEX127" s="5"/>
      <c r="CEY127" s="5"/>
      <c r="CEZ127" s="5"/>
      <c r="CFA127" s="5"/>
      <c r="CFB127" s="5"/>
      <c r="CFC127" s="5"/>
      <c r="CFD127" s="5"/>
      <c r="CFE127" s="5"/>
      <c r="CFF127" s="5"/>
      <c r="CFG127" s="5"/>
      <c r="CFH127" s="5"/>
      <c r="CFI127" s="5"/>
      <c r="CFJ127" s="5"/>
      <c r="CFK127" s="5"/>
      <c r="CFL127" s="5"/>
      <c r="CFM127" s="5"/>
      <c r="CFN127" s="5"/>
      <c r="CFO127" s="5"/>
      <c r="CFP127" s="5"/>
      <c r="CFQ127" s="5"/>
      <c r="CFR127" s="5"/>
      <c r="CFS127" s="5"/>
      <c r="CFT127" s="5"/>
      <c r="CFU127" s="5"/>
      <c r="CFV127" s="5"/>
      <c r="CFW127" s="5"/>
      <c r="CFX127" s="5"/>
      <c r="CFY127" s="5"/>
      <c r="CFZ127" s="5"/>
      <c r="CGA127" s="5"/>
      <c r="CGB127" s="5"/>
      <c r="CGC127" s="5"/>
      <c r="CGD127" s="5"/>
      <c r="CGE127" s="5"/>
      <c r="CGF127" s="5"/>
      <c r="CGG127" s="5"/>
      <c r="CGH127" s="5"/>
      <c r="CGI127" s="5"/>
      <c r="CGJ127" s="5"/>
      <c r="CGK127" s="5"/>
      <c r="CGL127" s="5"/>
      <c r="CGM127" s="5"/>
      <c r="CGN127" s="5"/>
      <c r="CGO127" s="5"/>
      <c r="CGP127" s="5"/>
      <c r="CGQ127" s="5"/>
      <c r="CGR127" s="5"/>
      <c r="CGS127" s="5"/>
      <c r="CGT127" s="5"/>
      <c r="CGU127" s="5"/>
      <c r="CGV127" s="5"/>
      <c r="CGW127" s="5"/>
      <c r="CGX127" s="5"/>
      <c r="CGY127" s="5"/>
      <c r="CGZ127" s="5"/>
      <c r="CHA127" s="5"/>
      <c r="CHB127" s="5"/>
      <c r="CHC127" s="5"/>
      <c r="CHD127" s="5"/>
      <c r="CHE127" s="5"/>
      <c r="CHF127" s="5"/>
      <c r="CHG127" s="5"/>
      <c r="CHH127" s="5"/>
      <c r="CHI127" s="5"/>
      <c r="CHJ127" s="5"/>
      <c r="CHK127" s="5"/>
      <c r="CHL127" s="5"/>
      <c r="CHM127" s="5"/>
      <c r="CHN127" s="5"/>
      <c r="CHO127" s="5"/>
      <c r="CHP127" s="5"/>
      <c r="CHQ127" s="5"/>
      <c r="CHR127" s="5"/>
      <c r="CHS127" s="5"/>
      <c r="CHT127" s="5"/>
      <c r="CHU127" s="5"/>
      <c r="CHV127" s="5"/>
      <c r="CHW127" s="5"/>
      <c r="CHX127" s="5"/>
      <c r="CHY127" s="5"/>
      <c r="CHZ127" s="5"/>
      <c r="CIA127" s="5"/>
      <c r="CIB127" s="5"/>
      <c r="CIC127" s="5"/>
      <c r="CID127" s="5"/>
      <c r="CIE127" s="5"/>
      <c r="CIF127" s="5"/>
      <c r="CIG127" s="5"/>
      <c r="CIH127" s="5"/>
      <c r="CII127" s="5"/>
      <c r="CIJ127" s="5"/>
      <c r="CIK127" s="5"/>
      <c r="CIL127" s="5"/>
      <c r="CIM127" s="5"/>
      <c r="CIN127" s="5"/>
      <c r="CIO127" s="5"/>
      <c r="CIP127" s="5"/>
      <c r="CIQ127" s="5"/>
      <c r="CIR127" s="5"/>
      <c r="CIS127" s="5"/>
      <c r="CIT127" s="5"/>
      <c r="CIU127" s="5"/>
      <c r="CIV127" s="5"/>
      <c r="CIW127" s="5"/>
      <c r="CIX127" s="5"/>
      <c r="CIY127" s="5"/>
      <c r="CIZ127" s="5"/>
      <c r="CJA127" s="5"/>
      <c r="CJB127" s="5"/>
      <c r="CJC127" s="5"/>
      <c r="CJD127" s="5"/>
      <c r="CJE127" s="5"/>
      <c r="CJF127" s="5"/>
      <c r="CJG127" s="5"/>
      <c r="CJH127" s="5"/>
      <c r="CJI127" s="5"/>
      <c r="CJJ127" s="5"/>
      <c r="CJK127" s="5"/>
      <c r="CJL127" s="5"/>
      <c r="CJM127" s="5"/>
      <c r="CJN127" s="5"/>
      <c r="CJO127" s="5"/>
      <c r="CJP127" s="5"/>
      <c r="CJQ127" s="5"/>
      <c r="CJR127" s="5"/>
      <c r="CJS127" s="5"/>
      <c r="CJT127" s="5"/>
      <c r="CJU127" s="5"/>
      <c r="CJV127" s="5"/>
      <c r="CJW127" s="5"/>
      <c r="CJX127" s="5"/>
      <c r="CJY127" s="5"/>
      <c r="CJZ127" s="5"/>
      <c r="CKA127" s="5"/>
      <c r="CKB127" s="5"/>
      <c r="CKC127" s="5"/>
      <c r="CKD127" s="5"/>
      <c r="CKE127" s="5"/>
      <c r="CKF127" s="5"/>
      <c r="CKG127" s="5"/>
      <c r="CKH127" s="5"/>
      <c r="CKI127" s="5"/>
      <c r="CKJ127" s="5"/>
      <c r="CKK127" s="5"/>
      <c r="CKL127" s="5"/>
      <c r="CKM127" s="5"/>
      <c r="CKN127" s="5"/>
      <c r="CKO127" s="5"/>
      <c r="CKP127" s="5"/>
      <c r="CKQ127" s="5"/>
      <c r="CKR127" s="5"/>
      <c r="CKS127" s="5"/>
      <c r="CKT127" s="5"/>
      <c r="CKU127" s="5"/>
      <c r="CKV127" s="5"/>
      <c r="CKW127" s="5"/>
      <c r="CKX127" s="5"/>
      <c r="CKY127" s="5"/>
      <c r="CKZ127" s="5"/>
      <c r="CLA127" s="5"/>
      <c r="CLB127" s="5"/>
      <c r="CLC127" s="5"/>
      <c r="CLD127" s="5"/>
      <c r="CLE127" s="5"/>
      <c r="CLF127" s="5"/>
      <c r="CLG127" s="5"/>
      <c r="CLH127" s="5"/>
      <c r="CLI127" s="5"/>
      <c r="CLJ127" s="5"/>
      <c r="CLK127" s="5"/>
      <c r="CLL127" s="5"/>
      <c r="CLM127" s="5"/>
      <c r="CLN127" s="5"/>
      <c r="CLO127" s="5"/>
      <c r="CLP127" s="5"/>
      <c r="CLQ127" s="5"/>
      <c r="CLR127" s="5"/>
      <c r="CLS127" s="5"/>
      <c r="CLT127" s="5"/>
      <c r="CLU127" s="5"/>
      <c r="CLV127" s="5"/>
      <c r="CLW127" s="5"/>
      <c r="CLX127" s="5"/>
      <c r="CLY127" s="5"/>
      <c r="CLZ127" s="5"/>
      <c r="CMA127" s="5"/>
      <c r="CMB127" s="5"/>
      <c r="CMC127" s="5"/>
      <c r="CMD127" s="5"/>
      <c r="CME127" s="5"/>
      <c r="CMF127" s="5"/>
      <c r="CMG127" s="5"/>
      <c r="CMH127" s="5"/>
      <c r="CMI127" s="5"/>
      <c r="CMJ127" s="5"/>
      <c r="CMK127" s="5"/>
      <c r="CML127" s="5"/>
      <c r="CMM127" s="5"/>
      <c r="CMN127" s="5"/>
      <c r="CMO127" s="5"/>
      <c r="CMP127" s="5"/>
      <c r="CMQ127" s="5"/>
      <c r="CMR127" s="5"/>
      <c r="CMS127" s="5"/>
      <c r="CMT127" s="5"/>
      <c r="CMU127" s="5"/>
      <c r="CMV127" s="5"/>
      <c r="CMW127" s="5"/>
      <c r="CMX127" s="5"/>
      <c r="CMY127" s="5"/>
      <c r="CMZ127" s="5"/>
      <c r="CNA127" s="5"/>
      <c r="CNB127" s="5"/>
      <c r="CNC127" s="5"/>
      <c r="CND127" s="5"/>
      <c r="CNE127" s="5"/>
      <c r="CNF127" s="5"/>
      <c r="CNG127" s="5"/>
      <c r="CNH127" s="5"/>
      <c r="CNI127" s="5"/>
      <c r="CNJ127" s="5"/>
      <c r="CNK127" s="5"/>
      <c r="CNL127" s="5"/>
      <c r="CNM127" s="5"/>
      <c r="CNN127" s="5"/>
      <c r="CNO127" s="5"/>
      <c r="CNP127" s="5"/>
      <c r="CNQ127" s="5"/>
      <c r="CNR127" s="5"/>
      <c r="CNS127" s="5"/>
      <c r="CNT127" s="5"/>
      <c r="CNU127" s="5"/>
      <c r="CNV127" s="5"/>
      <c r="CNW127" s="5"/>
      <c r="CNX127" s="5"/>
      <c r="CNY127" s="5"/>
      <c r="CNZ127" s="5"/>
      <c r="COA127" s="5"/>
      <c r="COB127" s="5"/>
      <c r="COC127" s="5"/>
      <c r="COD127" s="5"/>
      <c r="COE127" s="5"/>
      <c r="COF127" s="5"/>
      <c r="COG127" s="5"/>
      <c r="COH127" s="5"/>
      <c r="COI127" s="5"/>
      <c r="COJ127" s="5"/>
      <c r="COK127" s="5"/>
      <c r="COL127" s="5"/>
      <c r="COM127" s="5"/>
      <c r="CON127" s="5"/>
      <c r="COO127" s="5"/>
      <c r="COP127" s="5"/>
      <c r="COQ127" s="5"/>
      <c r="COR127" s="5"/>
      <c r="COS127" s="5"/>
      <c r="COT127" s="5"/>
      <c r="COU127" s="5"/>
      <c r="COV127" s="5"/>
      <c r="COW127" s="5"/>
      <c r="COX127" s="5"/>
      <c r="COY127" s="5"/>
      <c r="COZ127" s="5"/>
      <c r="CPA127" s="5"/>
      <c r="CPB127" s="5"/>
      <c r="CPC127" s="5"/>
      <c r="CPD127" s="5"/>
      <c r="CPE127" s="5"/>
      <c r="CPF127" s="5"/>
      <c r="CPG127" s="5"/>
      <c r="CPH127" s="5"/>
      <c r="CPI127" s="5"/>
      <c r="CPJ127" s="5"/>
      <c r="CPK127" s="5"/>
      <c r="CPL127" s="5"/>
      <c r="CPM127" s="5"/>
      <c r="CPN127" s="5"/>
      <c r="CPO127" s="5"/>
      <c r="CPP127" s="5"/>
      <c r="CPQ127" s="5"/>
      <c r="CPR127" s="5"/>
      <c r="CPS127" s="5"/>
      <c r="CPT127" s="5"/>
      <c r="CPU127" s="5"/>
      <c r="CPV127" s="5"/>
      <c r="CPW127" s="5"/>
      <c r="CPX127" s="5"/>
      <c r="CPY127" s="5"/>
      <c r="CPZ127" s="5"/>
      <c r="CQA127" s="5"/>
      <c r="CQB127" s="5"/>
      <c r="CQC127" s="5"/>
      <c r="CQD127" s="5"/>
      <c r="CQE127" s="5"/>
      <c r="CQF127" s="5"/>
      <c r="CQG127" s="5"/>
      <c r="CQH127" s="5"/>
      <c r="CQI127" s="5"/>
      <c r="CQJ127" s="5"/>
      <c r="CQK127" s="5"/>
      <c r="CQL127" s="5"/>
      <c r="CQM127" s="5"/>
      <c r="CQN127" s="5"/>
      <c r="CQO127" s="5"/>
      <c r="CQP127" s="5"/>
      <c r="CQQ127" s="5"/>
      <c r="CQR127" s="5"/>
      <c r="CQS127" s="5"/>
      <c r="CQT127" s="5"/>
      <c r="CQU127" s="5"/>
      <c r="CQV127" s="5"/>
      <c r="CQW127" s="5"/>
      <c r="CQX127" s="5"/>
      <c r="CQY127" s="5"/>
      <c r="CQZ127" s="5"/>
      <c r="CRA127" s="5"/>
      <c r="CRB127" s="5"/>
      <c r="CRC127" s="5"/>
      <c r="CRD127" s="5"/>
      <c r="CRE127" s="5"/>
      <c r="CRF127" s="5"/>
      <c r="CRG127" s="5"/>
      <c r="CRH127" s="5"/>
      <c r="CRI127" s="5"/>
      <c r="CRJ127" s="5"/>
      <c r="CRK127" s="5"/>
      <c r="CRL127" s="5"/>
      <c r="CRM127" s="5"/>
      <c r="CRN127" s="5"/>
      <c r="CRO127" s="5"/>
      <c r="CRP127" s="5"/>
      <c r="CRQ127" s="5"/>
      <c r="CRR127" s="5"/>
      <c r="CRS127" s="5"/>
      <c r="CRT127" s="5"/>
      <c r="CRU127" s="5"/>
      <c r="CRV127" s="5"/>
      <c r="CRW127" s="5"/>
      <c r="CRX127" s="5"/>
      <c r="CRY127" s="5"/>
      <c r="CRZ127" s="5"/>
      <c r="CSA127" s="5"/>
      <c r="CSB127" s="5"/>
      <c r="CSC127" s="5"/>
      <c r="CSD127" s="5"/>
      <c r="CSE127" s="5"/>
      <c r="CSF127" s="5"/>
      <c r="CSG127" s="5"/>
      <c r="CSH127" s="5"/>
      <c r="CSI127" s="5"/>
      <c r="CSJ127" s="5"/>
      <c r="CSK127" s="5"/>
      <c r="CSL127" s="5"/>
      <c r="CSM127" s="5"/>
      <c r="CSN127" s="5"/>
      <c r="CSO127" s="5"/>
      <c r="CSP127" s="5"/>
      <c r="CSQ127" s="5"/>
      <c r="CSR127" s="5"/>
      <c r="CSS127" s="5"/>
      <c r="CST127" s="5"/>
      <c r="CSU127" s="5"/>
      <c r="CSV127" s="5"/>
      <c r="CSW127" s="5"/>
      <c r="CSX127" s="5"/>
      <c r="CSY127" s="5"/>
      <c r="CSZ127" s="5"/>
      <c r="CTA127" s="5"/>
      <c r="CTB127" s="5"/>
      <c r="CTC127" s="5"/>
      <c r="CTD127" s="5"/>
      <c r="CTE127" s="5"/>
      <c r="CTF127" s="5"/>
      <c r="CTG127" s="5"/>
      <c r="CTH127" s="5"/>
      <c r="CTI127" s="5"/>
      <c r="CTJ127" s="5"/>
      <c r="CTK127" s="5"/>
      <c r="CTL127" s="5"/>
      <c r="CTM127" s="5"/>
      <c r="CTN127" s="5"/>
      <c r="CTO127" s="5"/>
      <c r="CTP127" s="5"/>
      <c r="CTQ127" s="5"/>
      <c r="CTR127" s="5"/>
      <c r="CTS127" s="5"/>
      <c r="CTT127" s="5"/>
      <c r="CTU127" s="5"/>
      <c r="CTV127" s="5"/>
      <c r="CTW127" s="5"/>
      <c r="CTX127" s="5"/>
      <c r="CTY127" s="5"/>
      <c r="CTZ127" s="5"/>
      <c r="CUA127" s="5"/>
      <c r="CUB127" s="5"/>
      <c r="CUC127" s="5"/>
      <c r="CUD127" s="5"/>
      <c r="CUE127" s="5"/>
      <c r="CUF127" s="5"/>
      <c r="CUG127" s="5"/>
      <c r="CUH127" s="5"/>
      <c r="CUI127" s="5"/>
      <c r="CUJ127" s="5"/>
      <c r="CUK127" s="5"/>
      <c r="CUL127" s="5"/>
      <c r="CUM127" s="5"/>
      <c r="CUN127" s="5"/>
      <c r="CUO127" s="5"/>
      <c r="CUP127" s="5"/>
      <c r="CUQ127" s="5"/>
      <c r="CUR127" s="5"/>
      <c r="CUS127" s="5"/>
      <c r="CUT127" s="5"/>
      <c r="CUU127" s="5"/>
      <c r="CUV127" s="5"/>
      <c r="CUW127" s="5"/>
      <c r="CUX127" s="5"/>
      <c r="CUY127" s="5"/>
      <c r="CUZ127" s="5"/>
      <c r="CVA127" s="5"/>
      <c r="CVB127" s="5"/>
      <c r="CVC127" s="5"/>
      <c r="CVD127" s="5"/>
      <c r="CVE127" s="5"/>
      <c r="CVF127" s="5"/>
      <c r="CVG127" s="5"/>
      <c r="CVH127" s="5"/>
      <c r="CVI127" s="5"/>
      <c r="CVJ127" s="5"/>
      <c r="CVK127" s="5"/>
      <c r="CVL127" s="5"/>
      <c r="CVM127" s="5"/>
      <c r="CVN127" s="5"/>
      <c r="CVO127" s="5"/>
      <c r="CVP127" s="5"/>
      <c r="CVQ127" s="5"/>
      <c r="CVR127" s="5"/>
      <c r="CVS127" s="5"/>
      <c r="CVT127" s="5"/>
      <c r="CVU127" s="5"/>
      <c r="CVV127" s="5"/>
      <c r="CVW127" s="5"/>
      <c r="CVX127" s="5"/>
      <c r="CVY127" s="5"/>
      <c r="CVZ127" s="5"/>
      <c r="CWA127" s="5"/>
      <c r="CWB127" s="5"/>
      <c r="CWC127" s="5"/>
      <c r="CWD127" s="5"/>
      <c r="CWE127" s="5"/>
      <c r="CWF127" s="5"/>
      <c r="CWG127" s="5"/>
      <c r="CWH127" s="5"/>
      <c r="CWI127" s="5"/>
      <c r="CWJ127" s="5"/>
      <c r="CWK127" s="5"/>
      <c r="CWL127" s="5"/>
      <c r="CWM127" s="5"/>
      <c r="CWN127" s="5"/>
      <c r="CWO127" s="5"/>
      <c r="CWP127" s="5"/>
      <c r="CWQ127" s="5"/>
      <c r="CWR127" s="5"/>
      <c r="CWS127" s="5"/>
      <c r="CWT127" s="5"/>
      <c r="CWU127" s="5"/>
      <c r="CWV127" s="5"/>
      <c r="CWW127" s="5"/>
      <c r="CWX127" s="5"/>
      <c r="CWY127" s="5"/>
      <c r="CWZ127" s="5"/>
      <c r="CXA127" s="5"/>
      <c r="CXB127" s="5"/>
      <c r="CXC127" s="5"/>
      <c r="CXD127" s="5"/>
      <c r="CXE127" s="5"/>
      <c r="CXF127" s="5"/>
      <c r="CXG127" s="5"/>
      <c r="CXH127" s="5"/>
      <c r="CXI127" s="5"/>
      <c r="CXJ127" s="5"/>
      <c r="CXK127" s="5"/>
      <c r="CXL127" s="5"/>
      <c r="CXM127" s="5"/>
      <c r="CXN127" s="5"/>
      <c r="CXO127" s="5"/>
      <c r="CXP127" s="5"/>
      <c r="CXQ127" s="5"/>
      <c r="CXR127" s="5"/>
      <c r="CXS127" s="5"/>
      <c r="CXT127" s="5"/>
      <c r="CXU127" s="5"/>
      <c r="CXV127" s="5"/>
      <c r="CXW127" s="5"/>
      <c r="CXX127" s="5"/>
      <c r="CXY127" s="5"/>
      <c r="CXZ127" s="5"/>
      <c r="CYA127" s="5"/>
      <c r="CYB127" s="5"/>
      <c r="CYC127" s="5"/>
      <c r="CYD127" s="5"/>
      <c r="CYE127" s="5"/>
      <c r="CYF127" s="5"/>
      <c r="CYG127" s="5"/>
      <c r="CYH127" s="5"/>
      <c r="CYI127" s="5"/>
      <c r="CYJ127" s="5"/>
      <c r="CYK127" s="5"/>
      <c r="CYL127" s="5"/>
      <c r="CYM127" s="5"/>
      <c r="CYN127" s="5"/>
      <c r="CYO127" s="5"/>
      <c r="CYP127" s="5"/>
      <c r="CYQ127" s="5"/>
      <c r="CYR127" s="5"/>
      <c r="CYS127" s="5"/>
      <c r="CYT127" s="5"/>
      <c r="CYU127" s="5"/>
      <c r="CYV127" s="5"/>
      <c r="CYW127" s="5"/>
      <c r="CYX127" s="5"/>
      <c r="CYY127" s="5"/>
      <c r="CYZ127" s="5"/>
      <c r="CZA127" s="5"/>
      <c r="CZB127" s="5"/>
      <c r="CZC127" s="5"/>
      <c r="CZD127" s="5"/>
      <c r="CZE127" s="5"/>
      <c r="CZF127" s="5"/>
      <c r="CZG127" s="5"/>
      <c r="CZH127" s="5"/>
      <c r="CZI127" s="5"/>
      <c r="CZJ127" s="5"/>
      <c r="CZK127" s="5"/>
      <c r="CZL127" s="5"/>
      <c r="CZM127" s="5"/>
      <c r="CZN127" s="5"/>
      <c r="CZO127" s="5"/>
      <c r="CZP127" s="5"/>
      <c r="CZQ127" s="5"/>
      <c r="CZR127" s="5"/>
      <c r="CZS127" s="5"/>
      <c r="CZT127" s="5"/>
      <c r="CZU127" s="5"/>
      <c r="CZV127" s="5"/>
      <c r="CZW127" s="5"/>
      <c r="CZX127" s="5"/>
      <c r="CZY127" s="5"/>
      <c r="CZZ127" s="5"/>
      <c r="DAA127" s="5"/>
      <c r="DAB127" s="5"/>
      <c r="DAC127" s="5"/>
      <c r="DAD127" s="5"/>
      <c r="DAE127" s="5"/>
      <c r="DAF127" s="5"/>
      <c r="DAG127" s="5"/>
      <c r="DAH127" s="5"/>
      <c r="DAI127" s="5"/>
      <c r="DAJ127" s="5"/>
      <c r="DAK127" s="5"/>
      <c r="DAL127" s="5"/>
      <c r="DAM127" s="5"/>
      <c r="DAN127" s="5"/>
      <c r="DAO127" s="5"/>
      <c r="DAP127" s="5"/>
      <c r="DAQ127" s="5"/>
      <c r="DAR127" s="5"/>
      <c r="DAS127" s="5"/>
      <c r="DAT127" s="5"/>
      <c r="DAU127" s="5"/>
      <c r="DAV127" s="5"/>
      <c r="DAW127" s="5"/>
      <c r="DAX127" s="5"/>
      <c r="DAY127" s="5"/>
      <c r="DAZ127" s="5"/>
      <c r="DBA127" s="5"/>
      <c r="DBB127" s="5"/>
      <c r="DBC127" s="5"/>
      <c r="DBD127" s="5"/>
      <c r="DBE127" s="5"/>
      <c r="DBF127" s="5"/>
      <c r="DBG127" s="5"/>
      <c r="DBH127" s="5"/>
      <c r="DBI127" s="5"/>
      <c r="DBJ127" s="5"/>
      <c r="DBK127" s="5"/>
      <c r="DBL127" s="5"/>
      <c r="DBM127" s="5"/>
      <c r="DBN127" s="5"/>
      <c r="DBO127" s="5"/>
      <c r="DBP127" s="5"/>
      <c r="DBQ127" s="5"/>
      <c r="DBR127" s="5"/>
      <c r="DBS127" s="5"/>
      <c r="DBT127" s="5"/>
      <c r="DBU127" s="5"/>
      <c r="DBV127" s="5"/>
      <c r="DBW127" s="5"/>
      <c r="DBX127" s="5"/>
      <c r="DBY127" s="5"/>
      <c r="DBZ127" s="5"/>
      <c r="DCA127" s="5"/>
      <c r="DCB127" s="5"/>
      <c r="DCC127" s="5"/>
      <c r="DCD127" s="5"/>
      <c r="DCE127" s="5"/>
      <c r="DCF127" s="5"/>
      <c r="DCG127" s="5"/>
      <c r="DCH127" s="5"/>
      <c r="DCI127" s="5"/>
      <c r="DCJ127" s="5"/>
      <c r="DCK127" s="5"/>
      <c r="DCL127" s="5"/>
      <c r="DCM127" s="5"/>
      <c r="DCN127" s="5"/>
      <c r="DCO127" s="5"/>
      <c r="DCP127" s="5"/>
      <c r="DCQ127" s="5"/>
      <c r="DCR127" s="5"/>
      <c r="DCS127" s="5"/>
      <c r="DCT127" s="5"/>
      <c r="DCU127" s="5"/>
      <c r="DCV127" s="5"/>
      <c r="DCW127" s="5"/>
      <c r="DCX127" s="5"/>
      <c r="DCY127" s="5"/>
      <c r="DCZ127" s="5"/>
      <c r="DDA127" s="5"/>
      <c r="DDB127" s="5"/>
      <c r="DDC127" s="5"/>
      <c r="DDD127" s="5"/>
      <c r="DDE127" s="5"/>
      <c r="DDF127" s="5"/>
      <c r="DDG127" s="5"/>
      <c r="DDH127" s="5"/>
      <c r="DDI127" s="5"/>
      <c r="DDJ127" s="5"/>
      <c r="DDK127" s="5"/>
      <c r="DDL127" s="5"/>
      <c r="DDM127" s="5"/>
      <c r="DDN127" s="5"/>
      <c r="DDO127" s="5"/>
      <c r="DDP127" s="5"/>
      <c r="DDQ127" s="5"/>
      <c r="DDR127" s="5"/>
      <c r="DDS127" s="5"/>
      <c r="DDT127" s="5"/>
      <c r="DDU127" s="5"/>
      <c r="DDV127" s="5"/>
      <c r="DDW127" s="5"/>
      <c r="DDX127" s="5"/>
      <c r="DDY127" s="5"/>
      <c r="DDZ127" s="5"/>
      <c r="DEA127" s="5"/>
      <c r="DEB127" s="5"/>
      <c r="DEC127" s="5"/>
      <c r="DED127" s="5"/>
      <c r="DEE127" s="5"/>
      <c r="DEF127" s="5"/>
      <c r="DEG127" s="5"/>
      <c r="DEH127" s="5"/>
      <c r="DEI127" s="5"/>
      <c r="DEJ127" s="5"/>
      <c r="DEK127" s="5"/>
      <c r="DEL127" s="5"/>
      <c r="DEM127" s="5"/>
      <c r="DEN127" s="5"/>
      <c r="DEO127" s="5"/>
      <c r="DEP127" s="5"/>
      <c r="DEQ127" s="5"/>
      <c r="DER127" s="5"/>
      <c r="DES127" s="5"/>
      <c r="DET127" s="5"/>
      <c r="DEU127" s="5"/>
      <c r="DEV127" s="5"/>
      <c r="DEW127" s="5"/>
      <c r="DEX127" s="5"/>
      <c r="DEY127" s="5"/>
      <c r="DEZ127" s="5"/>
      <c r="DFA127" s="5"/>
      <c r="DFB127" s="5"/>
      <c r="DFC127" s="5"/>
      <c r="DFD127" s="5"/>
      <c r="DFE127" s="5"/>
      <c r="DFF127" s="5"/>
      <c r="DFG127" s="5"/>
      <c r="DFH127" s="5"/>
      <c r="DFI127" s="5"/>
      <c r="DFJ127" s="5"/>
      <c r="DFK127" s="5"/>
      <c r="DFL127" s="5"/>
      <c r="DFM127" s="5"/>
      <c r="DFN127" s="5"/>
      <c r="DFO127" s="5"/>
      <c r="DFP127" s="5"/>
      <c r="DFQ127" s="5"/>
      <c r="DFR127" s="5"/>
      <c r="DFS127" s="5"/>
      <c r="DFT127" s="5"/>
      <c r="DFU127" s="5"/>
      <c r="DFV127" s="5"/>
      <c r="DFW127" s="5"/>
      <c r="DFX127" s="5"/>
      <c r="DFY127" s="5"/>
      <c r="DFZ127" s="5"/>
      <c r="DGA127" s="5"/>
      <c r="DGB127" s="5"/>
      <c r="DGC127" s="5"/>
      <c r="DGD127" s="5"/>
      <c r="DGE127" s="5"/>
      <c r="DGF127" s="5"/>
      <c r="DGG127" s="5"/>
      <c r="DGH127" s="5"/>
      <c r="DGI127" s="5"/>
      <c r="DGJ127" s="5"/>
      <c r="DGK127" s="5"/>
      <c r="DGL127" s="5"/>
      <c r="DGM127" s="5"/>
      <c r="DGN127" s="5"/>
      <c r="DGO127" s="5"/>
      <c r="DGP127" s="5"/>
      <c r="DGQ127" s="5"/>
      <c r="DGR127" s="5"/>
      <c r="DGS127" s="5"/>
      <c r="DGT127" s="5"/>
      <c r="DGU127" s="5"/>
      <c r="DGV127" s="5"/>
      <c r="DGW127" s="5"/>
      <c r="DGX127" s="5"/>
      <c r="DGY127" s="5"/>
      <c r="DGZ127" s="5"/>
      <c r="DHA127" s="5"/>
      <c r="DHB127" s="5"/>
      <c r="DHC127" s="5"/>
      <c r="DHD127" s="5"/>
      <c r="DHE127" s="5"/>
      <c r="DHF127" s="5"/>
      <c r="DHG127" s="5"/>
      <c r="DHH127" s="5"/>
      <c r="DHI127" s="5"/>
      <c r="DHJ127" s="5"/>
      <c r="DHK127" s="5"/>
      <c r="DHL127" s="5"/>
      <c r="DHM127" s="5"/>
      <c r="DHN127" s="5"/>
      <c r="DHO127" s="5"/>
      <c r="DHP127" s="5"/>
      <c r="DHQ127" s="5"/>
      <c r="DHR127" s="5"/>
      <c r="DHS127" s="5"/>
      <c r="DHT127" s="5"/>
      <c r="DHU127" s="5"/>
      <c r="DHV127" s="5"/>
      <c r="DHW127" s="5"/>
      <c r="DHX127" s="5"/>
      <c r="DHY127" s="5"/>
      <c r="DHZ127" s="5"/>
      <c r="DIA127" s="5"/>
      <c r="DIB127" s="5"/>
      <c r="DIC127" s="5"/>
      <c r="DID127" s="5"/>
      <c r="DIE127" s="5"/>
      <c r="DIF127" s="5"/>
      <c r="DIG127" s="5"/>
      <c r="DIH127" s="5"/>
      <c r="DII127" s="5"/>
      <c r="DIJ127" s="5"/>
      <c r="DIK127" s="5"/>
      <c r="DIL127" s="5"/>
      <c r="DIM127" s="5"/>
      <c r="DIN127" s="5"/>
      <c r="DIO127" s="5"/>
      <c r="DIP127" s="5"/>
      <c r="DIQ127" s="5"/>
      <c r="DIR127" s="5"/>
      <c r="DIS127" s="5"/>
      <c r="DIT127" s="5"/>
      <c r="DIU127" s="5"/>
      <c r="DIV127" s="5"/>
      <c r="DIW127" s="5"/>
      <c r="DIX127" s="5"/>
      <c r="DIY127" s="5"/>
      <c r="DIZ127" s="5"/>
      <c r="DJA127" s="5"/>
      <c r="DJB127" s="5"/>
      <c r="DJC127" s="5"/>
      <c r="DJD127" s="5"/>
      <c r="DJE127" s="5"/>
      <c r="DJF127" s="5"/>
      <c r="DJG127" s="5"/>
      <c r="DJH127" s="5"/>
      <c r="DJI127" s="5"/>
      <c r="DJJ127" s="5"/>
      <c r="DJK127" s="5"/>
      <c r="DJL127" s="5"/>
      <c r="DJM127" s="5"/>
      <c r="DJN127" s="5"/>
      <c r="DJO127" s="5"/>
      <c r="DJP127" s="5"/>
      <c r="DJQ127" s="5"/>
      <c r="DJR127" s="5"/>
      <c r="DJS127" s="5"/>
      <c r="DJT127" s="5"/>
      <c r="DJU127" s="5"/>
      <c r="DJV127" s="5"/>
      <c r="DJW127" s="5"/>
      <c r="DJX127" s="5"/>
      <c r="DJY127" s="5"/>
      <c r="DJZ127" s="5"/>
      <c r="DKA127" s="5"/>
      <c r="DKB127" s="5"/>
      <c r="DKC127" s="5"/>
      <c r="DKD127" s="5"/>
      <c r="DKE127" s="5"/>
      <c r="DKF127" s="5"/>
      <c r="DKG127" s="5"/>
      <c r="DKH127" s="5"/>
      <c r="DKI127" s="5"/>
      <c r="DKJ127" s="5"/>
      <c r="DKK127" s="5"/>
      <c r="DKL127" s="5"/>
      <c r="DKM127" s="5"/>
      <c r="DKN127" s="5"/>
      <c r="DKO127" s="5"/>
      <c r="DKP127" s="5"/>
      <c r="DKQ127" s="5"/>
      <c r="DKR127" s="5"/>
      <c r="DKS127" s="5"/>
      <c r="DKT127" s="5"/>
      <c r="DKU127" s="5"/>
      <c r="DKV127" s="5"/>
      <c r="DKW127" s="5"/>
      <c r="DKX127" s="5"/>
      <c r="DKY127" s="5"/>
      <c r="DKZ127" s="5"/>
      <c r="DLA127" s="5"/>
      <c r="DLB127" s="5"/>
      <c r="DLC127" s="5"/>
      <c r="DLD127" s="5"/>
      <c r="DLE127" s="5"/>
      <c r="DLF127" s="5"/>
      <c r="DLG127" s="5"/>
      <c r="DLH127" s="5"/>
      <c r="DLI127" s="5"/>
      <c r="DLJ127" s="5"/>
      <c r="DLK127" s="5"/>
      <c r="DLL127" s="5"/>
      <c r="DLM127" s="5"/>
      <c r="DLN127" s="5"/>
      <c r="DLO127" s="5"/>
      <c r="DLP127" s="5"/>
      <c r="DLQ127" s="5"/>
      <c r="DLR127" s="5"/>
      <c r="DLS127" s="5"/>
      <c r="DLT127" s="5"/>
      <c r="DLU127" s="5"/>
      <c r="DLV127" s="5"/>
      <c r="DLW127" s="5"/>
      <c r="DLX127" s="5"/>
      <c r="DLY127" s="5"/>
      <c r="DLZ127" s="5"/>
      <c r="DMA127" s="5"/>
      <c r="DMB127" s="5"/>
      <c r="DMC127" s="5"/>
      <c r="DMD127" s="5"/>
      <c r="DME127" s="5"/>
      <c r="DMF127" s="5"/>
      <c r="DMG127" s="5"/>
      <c r="DMH127" s="5"/>
      <c r="DMI127" s="5"/>
      <c r="DMJ127" s="5"/>
      <c r="DMK127" s="5"/>
      <c r="DML127" s="5"/>
      <c r="DMM127" s="5"/>
      <c r="DMN127" s="5"/>
      <c r="DMO127" s="5"/>
      <c r="DMP127" s="5"/>
      <c r="DMQ127" s="5"/>
      <c r="DMR127" s="5"/>
      <c r="DMS127" s="5"/>
      <c r="DMT127" s="5"/>
      <c r="DMU127" s="5"/>
      <c r="DMV127" s="5"/>
      <c r="DMW127" s="5"/>
      <c r="DMX127" s="5"/>
      <c r="DMY127" s="5"/>
      <c r="DMZ127" s="5"/>
      <c r="DNA127" s="5"/>
      <c r="DNB127" s="5"/>
      <c r="DNC127" s="5"/>
      <c r="DND127" s="5"/>
      <c r="DNE127" s="5"/>
      <c r="DNF127" s="5"/>
      <c r="DNG127" s="5"/>
      <c r="DNH127" s="5"/>
      <c r="DNI127" s="5"/>
      <c r="DNJ127" s="5"/>
      <c r="DNK127" s="5"/>
      <c r="DNL127" s="5"/>
      <c r="DNM127" s="5"/>
      <c r="DNN127" s="5"/>
      <c r="DNO127" s="5"/>
      <c r="DNP127" s="5"/>
      <c r="DNQ127" s="5"/>
      <c r="DNR127" s="5"/>
      <c r="DNS127" s="5"/>
      <c r="DNT127" s="5"/>
      <c r="DNU127" s="5"/>
      <c r="DNV127" s="5"/>
      <c r="DNW127" s="5"/>
      <c r="DNX127" s="5"/>
      <c r="DNY127" s="5"/>
      <c r="DNZ127" s="5"/>
      <c r="DOA127" s="5"/>
      <c r="DOB127" s="5"/>
      <c r="DOC127" s="5"/>
      <c r="DOD127" s="5"/>
      <c r="DOE127" s="5"/>
      <c r="DOF127" s="5"/>
      <c r="DOG127" s="5"/>
      <c r="DOH127" s="5"/>
      <c r="DOI127" s="5"/>
      <c r="DOJ127" s="5"/>
      <c r="DOK127" s="5"/>
      <c r="DOL127" s="5"/>
      <c r="DOM127" s="5"/>
      <c r="DON127" s="5"/>
      <c r="DOO127" s="5"/>
      <c r="DOP127" s="5"/>
      <c r="DOQ127" s="5"/>
      <c r="DOR127" s="5"/>
      <c r="DOS127" s="5"/>
      <c r="DOT127" s="5"/>
      <c r="DOU127" s="5"/>
      <c r="DOV127" s="5"/>
      <c r="DOW127" s="5"/>
      <c r="DOX127" s="5"/>
      <c r="DOY127" s="5"/>
      <c r="DOZ127" s="5"/>
      <c r="DPA127" s="5"/>
      <c r="DPB127" s="5"/>
      <c r="DPC127" s="5"/>
      <c r="DPD127" s="5"/>
      <c r="DPE127" s="5"/>
      <c r="DPF127" s="5"/>
      <c r="DPG127" s="5"/>
      <c r="DPH127" s="5"/>
      <c r="DPI127" s="5"/>
      <c r="DPJ127" s="5"/>
      <c r="DPK127" s="5"/>
      <c r="DPL127" s="5"/>
      <c r="DPM127" s="5"/>
      <c r="DPN127" s="5"/>
      <c r="DPO127" s="5"/>
      <c r="DPP127" s="5"/>
      <c r="DPQ127" s="5"/>
      <c r="DPR127" s="5"/>
      <c r="DPS127" s="5"/>
      <c r="DPT127" s="5"/>
      <c r="DPU127" s="5"/>
      <c r="DPV127" s="5"/>
      <c r="DPW127" s="5"/>
      <c r="DPX127" s="5"/>
      <c r="DPY127" s="5"/>
      <c r="DPZ127" s="5"/>
      <c r="DQA127" s="5"/>
      <c r="DQB127" s="5"/>
      <c r="DQC127" s="5"/>
      <c r="DQD127" s="5"/>
      <c r="DQE127" s="5"/>
      <c r="DQF127" s="5"/>
      <c r="DQG127" s="5"/>
      <c r="DQH127" s="5"/>
      <c r="DQI127" s="5"/>
      <c r="DQJ127" s="5"/>
      <c r="DQK127" s="5"/>
      <c r="DQL127" s="5"/>
      <c r="DQM127" s="5"/>
      <c r="DQN127" s="5"/>
      <c r="DQO127" s="5"/>
      <c r="DQP127" s="5"/>
      <c r="DQQ127" s="5"/>
      <c r="DQR127" s="5"/>
      <c r="DQS127" s="5"/>
      <c r="DQT127" s="5"/>
      <c r="DQU127" s="5"/>
      <c r="DQV127" s="5"/>
      <c r="DQW127" s="5"/>
      <c r="DQX127" s="5"/>
      <c r="DQY127" s="5"/>
      <c r="DQZ127" s="5"/>
      <c r="DRA127" s="5"/>
      <c r="DRB127" s="5"/>
      <c r="DRC127" s="5"/>
      <c r="DRD127" s="5"/>
      <c r="DRE127" s="5"/>
      <c r="DRF127" s="5"/>
      <c r="DRG127" s="5"/>
      <c r="DRH127" s="5"/>
      <c r="DRI127" s="5"/>
      <c r="DRJ127" s="5"/>
      <c r="DRK127" s="5"/>
      <c r="DRL127" s="5"/>
      <c r="DRM127" s="5"/>
      <c r="DRN127" s="5"/>
      <c r="DRO127" s="5"/>
      <c r="DRP127" s="5"/>
      <c r="DRQ127" s="5"/>
      <c r="DRR127" s="5"/>
      <c r="DRS127" s="5"/>
      <c r="DRT127" s="5"/>
      <c r="DRU127" s="5"/>
      <c r="DRV127" s="5"/>
      <c r="DRW127" s="5"/>
      <c r="DRX127" s="5"/>
      <c r="DRY127" s="5"/>
      <c r="DRZ127" s="5"/>
      <c r="DSA127" s="5"/>
      <c r="DSB127" s="5"/>
      <c r="DSC127" s="5"/>
      <c r="DSD127" s="5"/>
      <c r="DSE127" s="5"/>
      <c r="DSF127" s="5"/>
      <c r="DSG127" s="5"/>
      <c r="DSH127" s="5"/>
      <c r="DSI127" s="5"/>
      <c r="DSJ127" s="5"/>
      <c r="DSK127" s="5"/>
      <c r="DSL127" s="5"/>
      <c r="DSM127" s="5"/>
      <c r="DSN127" s="5"/>
      <c r="DSO127" s="5"/>
      <c r="DSP127" s="5"/>
      <c r="DSQ127" s="5"/>
      <c r="DSR127" s="5"/>
      <c r="DSS127" s="5"/>
      <c r="DST127" s="5"/>
      <c r="DSU127" s="5"/>
      <c r="DSV127" s="5"/>
      <c r="DSW127" s="5"/>
      <c r="DSX127" s="5"/>
      <c r="DSY127" s="5"/>
      <c r="DSZ127" s="5"/>
      <c r="DTA127" s="5"/>
      <c r="DTB127" s="5"/>
      <c r="DTC127" s="5"/>
      <c r="DTD127" s="5"/>
      <c r="DTE127" s="5"/>
      <c r="DTF127" s="5"/>
      <c r="DTG127" s="5"/>
      <c r="DTH127" s="5"/>
      <c r="DTI127" s="5"/>
      <c r="DTJ127" s="5"/>
      <c r="DTK127" s="5"/>
      <c r="DTL127" s="5"/>
      <c r="DTM127" s="5"/>
      <c r="DTN127" s="5"/>
      <c r="DTO127" s="5"/>
      <c r="DTP127" s="5"/>
      <c r="DTQ127" s="5"/>
      <c r="DTR127" s="5"/>
      <c r="DTS127" s="5"/>
      <c r="DTT127" s="5"/>
      <c r="DTU127" s="5"/>
      <c r="DTV127" s="5"/>
      <c r="DTW127" s="5"/>
      <c r="DTX127" s="5"/>
      <c r="DTY127" s="5"/>
      <c r="DTZ127" s="5"/>
      <c r="DUA127" s="5"/>
      <c r="DUB127" s="5"/>
      <c r="DUC127" s="5"/>
      <c r="DUD127" s="5"/>
      <c r="DUE127" s="5"/>
      <c r="DUF127" s="5"/>
      <c r="DUG127" s="5"/>
      <c r="DUH127" s="5"/>
      <c r="DUI127" s="5"/>
      <c r="DUJ127" s="5"/>
      <c r="DUK127" s="5"/>
      <c r="DUL127" s="5"/>
      <c r="DUM127" s="5"/>
      <c r="DUN127" s="5"/>
      <c r="DUO127" s="5"/>
      <c r="DUP127" s="5"/>
      <c r="DUQ127" s="5"/>
      <c r="DUR127" s="5"/>
      <c r="DUS127" s="5"/>
      <c r="DUT127" s="5"/>
      <c r="DUU127" s="5"/>
      <c r="DUV127" s="5"/>
      <c r="DUW127" s="5"/>
      <c r="DUX127" s="5"/>
      <c r="DUY127" s="5"/>
      <c r="DUZ127" s="5"/>
      <c r="DVA127" s="5"/>
      <c r="DVB127" s="5"/>
      <c r="DVC127" s="5"/>
      <c r="DVD127" s="5"/>
      <c r="DVE127" s="5"/>
      <c r="DVF127" s="5"/>
      <c r="DVG127" s="5"/>
      <c r="DVH127" s="5"/>
      <c r="DVI127" s="5"/>
      <c r="DVJ127" s="5"/>
      <c r="DVK127" s="5"/>
      <c r="DVL127" s="5"/>
      <c r="DVM127" s="5"/>
      <c r="DVN127" s="5"/>
      <c r="DVO127" s="5"/>
      <c r="DVP127" s="5"/>
      <c r="DVQ127" s="5"/>
      <c r="DVR127" s="5"/>
      <c r="DVS127" s="5"/>
      <c r="DVT127" s="5"/>
      <c r="DVU127" s="5"/>
      <c r="DVV127" s="5"/>
      <c r="DVW127" s="5"/>
      <c r="DVX127" s="5"/>
      <c r="DVY127" s="5"/>
      <c r="DVZ127" s="5"/>
      <c r="DWA127" s="5"/>
      <c r="DWB127" s="5"/>
      <c r="DWC127" s="5"/>
      <c r="DWD127" s="5"/>
      <c r="DWE127" s="5"/>
      <c r="DWF127" s="5"/>
      <c r="DWG127" s="5"/>
      <c r="DWH127" s="5"/>
      <c r="DWI127" s="5"/>
      <c r="DWJ127" s="5"/>
      <c r="DWK127" s="5"/>
      <c r="DWL127" s="5"/>
      <c r="DWM127" s="5"/>
      <c r="DWN127" s="5"/>
      <c r="DWO127" s="5"/>
      <c r="DWP127" s="5"/>
      <c r="DWQ127" s="5"/>
      <c r="DWR127" s="5"/>
      <c r="DWS127" s="5"/>
      <c r="DWT127" s="5"/>
      <c r="DWU127" s="5"/>
      <c r="DWV127" s="5"/>
      <c r="DWW127" s="5"/>
      <c r="DWX127" s="5"/>
      <c r="DWY127" s="5"/>
      <c r="DWZ127" s="5"/>
      <c r="DXA127" s="5"/>
      <c r="DXB127" s="5"/>
      <c r="DXC127" s="5"/>
      <c r="DXD127" s="5"/>
      <c r="DXE127" s="5"/>
      <c r="DXF127" s="5"/>
      <c r="DXG127" s="5"/>
      <c r="DXH127" s="5"/>
      <c r="DXI127" s="5"/>
      <c r="DXJ127" s="5"/>
      <c r="DXK127" s="5"/>
      <c r="DXL127" s="5"/>
      <c r="DXM127" s="5"/>
      <c r="DXN127" s="5"/>
      <c r="DXO127" s="5"/>
      <c r="DXP127" s="5"/>
      <c r="DXQ127" s="5"/>
      <c r="DXR127" s="5"/>
      <c r="DXS127" s="5"/>
      <c r="DXT127" s="5"/>
      <c r="DXU127" s="5"/>
      <c r="DXV127" s="5"/>
      <c r="DXW127" s="5"/>
      <c r="DXX127" s="5"/>
      <c r="DXY127" s="5"/>
      <c r="DXZ127" s="5"/>
      <c r="DYA127" s="5"/>
      <c r="DYB127" s="5"/>
      <c r="DYC127" s="5"/>
      <c r="DYD127" s="5"/>
      <c r="DYE127" s="5"/>
      <c r="DYF127" s="5"/>
      <c r="DYG127" s="5"/>
      <c r="DYH127" s="5"/>
      <c r="DYI127" s="5"/>
      <c r="DYJ127" s="5"/>
      <c r="DYK127" s="5"/>
      <c r="DYL127" s="5"/>
      <c r="DYM127" s="5"/>
      <c r="DYN127" s="5"/>
      <c r="DYO127" s="5"/>
      <c r="DYP127" s="5"/>
      <c r="DYQ127" s="5"/>
      <c r="DYR127" s="5"/>
      <c r="DYS127" s="5"/>
      <c r="DYT127" s="5"/>
      <c r="DYU127" s="5"/>
      <c r="DYV127" s="5"/>
      <c r="DYW127" s="5"/>
      <c r="DYX127" s="5"/>
      <c r="DYY127" s="5"/>
      <c r="DYZ127" s="5"/>
      <c r="DZA127" s="5"/>
      <c r="DZB127" s="5"/>
      <c r="DZC127" s="5"/>
      <c r="DZD127" s="5"/>
      <c r="DZE127" s="5"/>
      <c r="DZF127" s="5"/>
      <c r="DZG127" s="5"/>
      <c r="DZH127" s="5"/>
      <c r="DZI127" s="5"/>
      <c r="DZJ127" s="5"/>
      <c r="DZK127" s="5"/>
      <c r="DZL127" s="5"/>
      <c r="DZM127" s="5"/>
      <c r="DZN127" s="5"/>
      <c r="DZO127" s="5"/>
      <c r="DZP127" s="5"/>
      <c r="DZQ127" s="5"/>
      <c r="DZR127" s="5"/>
      <c r="DZS127" s="5"/>
      <c r="DZT127" s="5"/>
      <c r="DZU127" s="5"/>
      <c r="DZV127" s="5"/>
      <c r="DZW127" s="5"/>
      <c r="DZX127" s="5"/>
      <c r="DZY127" s="5"/>
      <c r="DZZ127" s="5"/>
      <c r="EAA127" s="5"/>
      <c r="EAB127" s="5"/>
      <c r="EAC127" s="5"/>
      <c r="EAD127" s="5"/>
      <c r="EAE127" s="5"/>
      <c r="EAF127" s="5"/>
      <c r="EAG127" s="5"/>
      <c r="EAH127" s="5"/>
      <c r="EAI127" s="5"/>
      <c r="EAJ127" s="5"/>
      <c r="EAK127" s="5"/>
      <c r="EAL127" s="5"/>
      <c r="EAM127" s="5"/>
      <c r="EAN127" s="5"/>
      <c r="EAO127" s="5"/>
      <c r="EAP127" s="5"/>
      <c r="EAQ127" s="5"/>
      <c r="EAR127" s="5"/>
      <c r="EAS127" s="5"/>
      <c r="EAT127" s="5"/>
      <c r="EAU127" s="5"/>
      <c r="EAV127" s="5"/>
      <c r="EAW127" s="5"/>
      <c r="EAX127" s="5"/>
      <c r="EAY127" s="5"/>
      <c r="EAZ127" s="5"/>
      <c r="EBA127" s="5"/>
      <c r="EBB127" s="5"/>
      <c r="EBC127" s="5"/>
      <c r="EBD127" s="5"/>
      <c r="EBE127" s="5"/>
      <c r="EBF127" s="5"/>
      <c r="EBG127" s="5"/>
      <c r="EBH127" s="5"/>
      <c r="EBI127" s="5"/>
      <c r="EBJ127" s="5"/>
      <c r="EBK127" s="5"/>
      <c r="EBL127" s="5"/>
      <c r="EBM127" s="5"/>
      <c r="EBN127" s="5"/>
      <c r="EBO127" s="5"/>
      <c r="EBP127" s="5"/>
      <c r="EBQ127" s="5"/>
      <c r="EBR127" s="5"/>
      <c r="EBS127" s="5"/>
      <c r="EBT127" s="5"/>
      <c r="EBU127" s="5"/>
      <c r="EBV127" s="5"/>
      <c r="EBW127" s="5"/>
      <c r="EBX127" s="5"/>
      <c r="EBY127" s="5"/>
      <c r="EBZ127" s="5"/>
      <c r="ECA127" s="5"/>
      <c r="ECB127" s="5"/>
      <c r="ECC127" s="5"/>
      <c r="ECD127" s="5"/>
      <c r="ECE127" s="5"/>
      <c r="ECF127" s="5"/>
      <c r="ECG127" s="5"/>
      <c r="ECH127" s="5"/>
      <c r="ECI127" s="5"/>
      <c r="ECJ127" s="5"/>
      <c r="ECK127" s="5"/>
      <c r="ECL127" s="5"/>
      <c r="ECM127" s="5"/>
      <c r="ECN127" s="5"/>
      <c r="ECO127" s="5"/>
      <c r="ECP127" s="5"/>
      <c r="ECQ127" s="5"/>
      <c r="ECR127" s="5"/>
      <c r="ECS127" s="5"/>
      <c r="ECT127" s="5"/>
      <c r="ECU127" s="5"/>
      <c r="ECV127" s="5"/>
      <c r="ECW127" s="5"/>
      <c r="ECX127" s="5"/>
      <c r="ECY127" s="5"/>
      <c r="ECZ127" s="5"/>
      <c r="EDA127" s="5"/>
      <c r="EDB127" s="5"/>
      <c r="EDC127" s="5"/>
      <c r="EDD127" s="5"/>
      <c r="EDE127" s="5"/>
      <c r="EDF127" s="5"/>
      <c r="EDG127" s="5"/>
      <c r="EDH127" s="5"/>
      <c r="EDI127" s="5"/>
      <c r="EDJ127" s="5"/>
      <c r="EDK127" s="5"/>
      <c r="EDL127" s="5"/>
      <c r="EDM127" s="5"/>
      <c r="EDN127" s="5"/>
      <c r="EDO127" s="5"/>
      <c r="EDP127" s="5"/>
      <c r="EDQ127" s="5"/>
      <c r="EDR127" s="5"/>
      <c r="EDS127" s="5"/>
      <c r="EDT127" s="5"/>
      <c r="EDU127" s="5"/>
      <c r="EDV127" s="5"/>
      <c r="EDW127" s="5"/>
      <c r="EDX127" s="5"/>
      <c r="EDY127" s="5"/>
      <c r="EDZ127" s="5"/>
      <c r="EEA127" s="5"/>
      <c r="EEB127" s="5"/>
      <c r="EEC127" s="5"/>
      <c r="EED127" s="5"/>
      <c r="EEE127" s="5"/>
      <c r="EEF127" s="5"/>
      <c r="EEG127" s="5"/>
      <c r="EEH127" s="5"/>
      <c r="EEI127" s="5"/>
      <c r="EEJ127" s="5"/>
      <c r="EEK127" s="5"/>
      <c r="EEL127" s="5"/>
      <c r="EEM127" s="5"/>
      <c r="EEN127" s="5"/>
      <c r="EEO127" s="5"/>
      <c r="EEP127" s="5"/>
      <c r="EEQ127" s="5"/>
      <c r="EER127" s="5"/>
      <c r="EES127" s="5"/>
      <c r="EET127" s="5"/>
      <c r="EEU127" s="5"/>
      <c r="EEV127" s="5"/>
      <c r="EEW127" s="5"/>
      <c r="EEX127" s="5"/>
      <c r="EEY127" s="5"/>
      <c r="EEZ127" s="5"/>
      <c r="EFA127" s="5"/>
      <c r="EFB127" s="5"/>
      <c r="EFC127" s="5"/>
      <c r="EFD127" s="5"/>
      <c r="EFE127" s="5"/>
      <c r="EFF127" s="5"/>
      <c r="EFG127" s="5"/>
      <c r="EFH127" s="5"/>
      <c r="EFI127" s="5"/>
      <c r="EFJ127" s="5"/>
      <c r="EFK127" s="5"/>
      <c r="EFL127" s="5"/>
      <c r="EFM127" s="5"/>
      <c r="EFN127" s="5"/>
      <c r="EFO127" s="5"/>
      <c r="EFP127" s="5"/>
      <c r="EFQ127" s="5"/>
      <c r="EFR127" s="5"/>
      <c r="EFS127" s="5"/>
      <c r="EFT127" s="5"/>
      <c r="EFU127" s="5"/>
      <c r="EFV127" s="5"/>
      <c r="EFW127" s="5"/>
      <c r="EFX127" s="5"/>
      <c r="EFY127" s="5"/>
      <c r="EFZ127" s="5"/>
      <c r="EGA127" s="5"/>
      <c r="EGB127" s="5"/>
      <c r="EGC127" s="5"/>
      <c r="EGD127" s="5"/>
      <c r="EGE127" s="5"/>
      <c r="EGF127" s="5"/>
      <c r="EGG127" s="5"/>
      <c r="EGH127" s="5"/>
      <c r="EGI127" s="5"/>
      <c r="EGJ127" s="5"/>
      <c r="EGK127" s="5"/>
      <c r="EGL127" s="5"/>
      <c r="EGM127" s="5"/>
      <c r="EGN127" s="5"/>
      <c r="EGO127" s="5"/>
      <c r="EGP127" s="5"/>
      <c r="EGQ127" s="5"/>
      <c r="EGR127" s="5"/>
      <c r="EGS127" s="5"/>
      <c r="EGT127" s="5"/>
      <c r="EGU127" s="5"/>
      <c r="EGV127" s="5"/>
      <c r="EGW127" s="5"/>
      <c r="EGX127" s="5"/>
      <c r="EGY127" s="5"/>
      <c r="EGZ127" s="5"/>
      <c r="EHA127" s="5"/>
      <c r="EHB127" s="5"/>
      <c r="EHC127" s="5"/>
      <c r="EHD127" s="5"/>
      <c r="EHE127" s="5"/>
      <c r="EHF127" s="5"/>
      <c r="EHG127" s="5"/>
      <c r="EHH127" s="5"/>
      <c r="EHI127" s="5"/>
      <c r="EHJ127" s="5"/>
      <c r="EHK127" s="5"/>
      <c r="EHL127" s="5"/>
      <c r="EHM127" s="5"/>
      <c r="EHN127" s="5"/>
      <c r="EHO127" s="5"/>
      <c r="EHP127" s="5"/>
      <c r="EHQ127" s="5"/>
      <c r="EHR127" s="5"/>
      <c r="EHS127" s="5"/>
      <c r="EHT127" s="5"/>
      <c r="EHU127" s="5"/>
      <c r="EHV127" s="5"/>
      <c r="EHW127" s="5"/>
      <c r="EHX127" s="5"/>
      <c r="EHY127" s="5"/>
      <c r="EHZ127" s="5"/>
      <c r="EIA127" s="5"/>
      <c r="EIB127" s="5"/>
      <c r="EIC127" s="5"/>
      <c r="EID127" s="5"/>
      <c r="EIE127" s="5"/>
      <c r="EIF127" s="5"/>
      <c r="EIG127" s="5"/>
      <c r="EIH127" s="5"/>
      <c r="EII127" s="5"/>
      <c r="EIJ127" s="5"/>
      <c r="EIK127" s="5"/>
      <c r="EIL127" s="5"/>
      <c r="EIM127" s="5"/>
      <c r="EIN127" s="5"/>
      <c r="EIO127" s="5"/>
      <c r="EIP127" s="5"/>
      <c r="EIQ127" s="5"/>
      <c r="EIR127" s="5"/>
      <c r="EIS127" s="5"/>
      <c r="EIT127" s="5"/>
      <c r="EIU127" s="5"/>
      <c r="EIV127" s="5"/>
      <c r="EIW127" s="5"/>
      <c r="EIX127" s="5"/>
      <c r="EIY127" s="5"/>
      <c r="EIZ127" s="5"/>
      <c r="EJA127" s="5"/>
      <c r="EJB127" s="5"/>
      <c r="EJC127" s="5"/>
      <c r="EJD127" s="5"/>
      <c r="EJE127" s="5"/>
      <c r="EJF127" s="5"/>
      <c r="EJG127" s="5"/>
      <c r="EJH127" s="5"/>
      <c r="EJI127" s="5"/>
      <c r="EJJ127" s="5"/>
      <c r="EJK127" s="5"/>
      <c r="EJL127" s="5"/>
      <c r="EJM127" s="5"/>
      <c r="EJN127" s="5"/>
      <c r="EJO127" s="5"/>
      <c r="EJP127" s="5"/>
      <c r="EJQ127" s="5"/>
      <c r="EJR127" s="5"/>
      <c r="EJS127" s="5"/>
      <c r="EJT127" s="5"/>
      <c r="EJU127" s="5"/>
      <c r="EJV127" s="5"/>
      <c r="EJW127" s="5"/>
      <c r="EJX127" s="5"/>
      <c r="EJY127" s="5"/>
      <c r="EJZ127" s="5"/>
      <c r="EKA127" s="5"/>
      <c r="EKB127" s="5"/>
      <c r="EKC127" s="5"/>
      <c r="EKD127" s="5"/>
      <c r="EKE127" s="5"/>
      <c r="EKF127" s="5"/>
      <c r="EKG127" s="5"/>
      <c r="EKH127" s="5"/>
      <c r="EKI127" s="5"/>
      <c r="EKJ127" s="5"/>
      <c r="EKK127" s="5"/>
      <c r="EKL127" s="5"/>
      <c r="EKM127" s="5"/>
      <c r="EKN127" s="5"/>
      <c r="EKO127" s="5"/>
      <c r="EKP127" s="5"/>
      <c r="EKQ127" s="5"/>
      <c r="EKR127" s="5"/>
      <c r="EKS127" s="5"/>
      <c r="EKT127" s="5"/>
      <c r="EKU127" s="5"/>
      <c r="EKV127" s="5"/>
      <c r="EKW127" s="5"/>
      <c r="EKX127" s="5"/>
      <c r="EKY127" s="5"/>
      <c r="EKZ127" s="5"/>
      <c r="ELA127" s="5"/>
      <c r="ELB127" s="5"/>
      <c r="ELC127" s="5"/>
      <c r="ELD127" s="5"/>
      <c r="ELE127" s="5"/>
      <c r="ELF127" s="5"/>
      <c r="ELG127" s="5"/>
      <c r="ELH127" s="5"/>
      <c r="ELI127" s="5"/>
      <c r="ELJ127" s="5"/>
      <c r="ELK127" s="5"/>
      <c r="ELL127" s="5"/>
      <c r="ELM127" s="5"/>
      <c r="ELN127" s="5"/>
      <c r="ELO127" s="5"/>
      <c r="ELP127" s="5"/>
      <c r="ELQ127" s="5"/>
      <c r="ELR127" s="5"/>
      <c r="ELS127" s="5"/>
      <c r="ELT127" s="5"/>
      <c r="ELU127" s="5"/>
      <c r="ELV127" s="5"/>
      <c r="ELW127" s="5"/>
      <c r="ELX127" s="5"/>
      <c r="ELY127" s="5"/>
      <c r="ELZ127" s="5"/>
      <c r="EMA127" s="5"/>
      <c r="EMB127" s="5"/>
      <c r="EMC127" s="5"/>
      <c r="EMD127" s="5"/>
      <c r="EME127" s="5"/>
      <c r="EMF127" s="5"/>
      <c r="EMG127" s="5"/>
      <c r="EMH127" s="5"/>
      <c r="EMI127" s="5"/>
      <c r="EMJ127" s="5"/>
      <c r="EMK127" s="5"/>
      <c r="EML127" s="5"/>
      <c r="EMM127" s="5"/>
      <c r="EMN127" s="5"/>
      <c r="EMO127" s="5"/>
      <c r="EMP127" s="5"/>
      <c r="EMQ127" s="5"/>
      <c r="EMR127" s="5"/>
      <c r="EMS127" s="5"/>
      <c r="EMT127" s="5"/>
      <c r="EMU127" s="5"/>
      <c r="EMV127" s="5"/>
      <c r="EMW127" s="5"/>
      <c r="EMX127" s="5"/>
      <c r="EMY127" s="5"/>
      <c r="EMZ127" s="5"/>
      <c r="ENA127" s="5"/>
      <c r="ENB127" s="5"/>
      <c r="ENC127" s="5"/>
      <c r="END127" s="5"/>
      <c r="ENE127" s="5"/>
      <c r="ENF127" s="5"/>
      <c r="ENG127" s="5"/>
      <c r="ENH127" s="5"/>
      <c r="ENI127" s="5"/>
      <c r="ENJ127" s="5"/>
      <c r="ENK127" s="5"/>
      <c r="ENL127" s="5"/>
      <c r="ENM127" s="5"/>
      <c r="ENN127" s="5"/>
      <c r="ENO127" s="5"/>
      <c r="ENP127" s="5"/>
      <c r="ENQ127" s="5"/>
      <c r="ENR127" s="5"/>
      <c r="ENS127" s="5"/>
      <c r="ENT127" s="5"/>
      <c r="ENU127" s="5"/>
      <c r="ENV127" s="5"/>
      <c r="ENW127" s="5"/>
      <c r="ENX127" s="5"/>
      <c r="ENY127" s="5"/>
      <c r="ENZ127" s="5"/>
      <c r="EOA127" s="5"/>
      <c r="EOB127" s="5"/>
      <c r="EOC127" s="5"/>
      <c r="EOD127" s="5"/>
      <c r="EOE127" s="5"/>
      <c r="EOF127" s="5"/>
      <c r="EOG127" s="5"/>
      <c r="EOH127" s="5"/>
      <c r="EOI127" s="5"/>
      <c r="EOJ127" s="5"/>
      <c r="EOK127" s="5"/>
      <c r="EOL127" s="5"/>
      <c r="EOM127" s="5"/>
      <c r="EON127" s="5"/>
      <c r="EOO127" s="5"/>
      <c r="EOP127" s="5"/>
      <c r="EOQ127" s="5"/>
      <c r="EOR127" s="5"/>
      <c r="EOS127" s="5"/>
      <c r="EOT127" s="5"/>
      <c r="EOU127" s="5"/>
      <c r="EOV127" s="5"/>
      <c r="EOW127" s="5"/>
      <c r="EOX127" s="5"/>
      <c r="EOY127" s="5"/>
      <c r="EOZ127" s="5"/>
      <c r="EPA127" s="5"/>
      <c r="EPB127" s="5"/>
      <c r="EPC127" s="5"/>
      <c r="EPD127" s="5"/>
      <c r="EPE127" s="5"/>
      <c r="EPF127" s="5"/>
      <c r="EPG127" s="5"/>
      <c r="EPH127" s="5"/>
      <c r="EPI127" s="5"/>
      <c r="EPJ127" s="5"/>
      <c r="EPK127" s="5"/>
      <c r="EPL127" s="5"/>
      <c r="EPM127" s="5"/>
      <c r="EPN127" s="5"/>
      <c r="EPO127" s="5"/>
      <c r="EPP127" s="5"/>
      <c r="EPQ127" s="5"/>
      <c r="EPR127" s="5"/>
      <c r="EPS127" s="5"/>
      <c r="EPT127" s="5"/>
      <c r="EPU127" s="5"/>
      <c r="EPV127" s="5"/>
      <c r="EPW127" s="5"/>
      <c r="EPX127" s="5"/>
      <c r="EPY127" s="5"/>
      <c r="EPZ127" s="5"/>
      <c r="EQA127" s="5"/>
      <c r="EQB127" s="5"/>
      <c r="EQC127" s="5"/>
      <c r="EQD127" s="5"/>
      <c r="EQE127" s="5"/>
      <c r="EQF127" s="5"/>
      <c r="EQG127" s="5"/>
      <c r="EQH127" s="5"/>
      <c r="EQI127" s="5"/>
      <c r="EQJ127" s="5"/>
      <c r="EQK127" s="5"/>
      <c r="EQL127" s="5"/>
      <c r="EQM127" s="5"/>
      <c r="EQN127" s="5"/>
      <c r="EQO127" s="5"/>
      <c r="EQP127" s="5"/>
      <c r="EQQ127" s="5"/>
      <c r="EQR127" s="5"/>
      <c r="EQS127" s="5"/>
      <c r="EQT127" s="5"/>
      <c r="EQU127" s="5"/>
      <c r="EQV127" s="5"/>
      <c r="EQW127" s="5"/>
      <c r="EQX127" s="5"/>
      <c r="EQY127" s="5"/>
      <c r="EQZ127" s="5"/>
      <c r="ERA127" s="5"/>
      <c r="ERB127" s="5"/>
      <c r="ERC127" s="5"/>
      <c r="ERD127" s="5"/>
      <c r="ERE127" s="5"/>
      <c r="ERF127" s="5"/>
      <c r="ERG127" s="5"/>
      <c r="ERH127" s="5"/>
      <c r="ERI127" s="5"/>
      <c r="ERJ127" s="5"/>
      <c r="ERK127" s="5"/>
      <c r="ERL127" s="5"/>
      <c r="ERM127" s="5"/>
      <c r="ERN127" s="5"/>
      <c r="ERO127" s="5"/>
      <c r="ERP127" s="5"/>
      <c r="ERQ127" s="5"/>
      <c r="ERR127" s="5"/>
      <c r="ERS127" s="5"/>
      <c r="ERT127" s="5"/>
      <c r="ERU127" s="5"/>
      <c r="ERV127" s="5"/>
      <c r="ERW127" s="5"/>
      <c r="ERX127" s="5"/>
      <c r="ERY127" s="5"/>
      <c r="ERZ127" s="5"/>
      <c r="ESA127" s="5"/>
      <c r="ESB127" s="5"/>
      <c r="ESC127" s="5"/>
      <c r="ESD127" s="5"/>
      <c r="ESE127" s="5"/>
      <c r="ESF127" s="5"/>
      <c r="ESG127" s="5"/>
      <c r="ESH127" s="5"/>
      <c r="ESI127" s="5"/>
      <c r="ESJ127" s="5"/>
      <c r="ESK127" s="5"/>
      <c r="ESL127" s="5"/>
      <c r="ESM127" s="5"/>
      <c r="ESN127" s="5"/>
      <c r="ESO127" s="5"/>
      <c r="ESP127" s="5"/>
      <c r="ESQ127" s="5"/>
      <c r="ESR127" s="5"/>
      <c r="ESS127" s="5"/>
      <c r="EST127" s="5"/>
      <c r="ESU127" s="5"/>
      <c r="ESV127" s="5"/>
      <c r="ESW127" s="5"/>
      <c r="ESX127" s="5"/>
      <c r="ESY127" s="5"/>
      <c r="ESZ127" s="5"/>
      <c r="ETA127" s="5"/>
      <c r="ETB127" s="5"/>
      <c r="ETC127" s="5"/>
      <c r="ETD127" s="5"/>
      <c r="ETE127" s="5"/>
      <c r="ETF127" s="5"/>
      <c r="ETG127" s="5"/>
      <c r="ETH127" s="5"/>
      <c r="ETI127" s="5"/>
      <c r="ETJ127" s="5"/>
      <c r="ETK127" s="5"/>
      <c r="ETL127" s="5"/>
      <c r="ETM127" s="5"/>
      <c r="ETN127" s="5"/>
      <c r="ETO127" s="5"/>
      <c r="ETP127" s="5"/>
      <c r="ETQ127" s="5"/>
      <c r="ETR127" s="5"/>
      <c r="ETS127" s="5"/>
      <c r="ETT127" s="5"/>
      <c r="ETU127" s="5"/>
      <c r="ETV127" s="5"/>
      <c r="ETW127" s="5"/>
      <c r="ETX127" s="5"/>
      <c r="ETY127" s="5"/>
      <c r="ETZ127" s="5"/>
      <c r="EUA127" s="5"/>
      <c r="EUB127" s="5"/>
      <c r="EUC127" s="5"/>
      <c r="EUD127" s="5"/>
      <c r="EUE127" s="5"/>
      <c r="EUF127" s="5"/>
      <c r="EUG127" s="5"/>
      <c r="EUH127" s="5"/>
      <c r="EUI127" s="5"/>
      <c r="EUJ127" s="5"/>
      <c r="EUK127" s="5"/>
      <c r="EUL127" s="5"/>
      <c r="EUM127" s="5"/>
      <c r="EUN127" s="5"/>
      <c r="EUO127" s="5"/>
      <c r="EUP127" s="5"/>
      <c r="EUQ127" s="5"/>
      <c r="EUR127" s="5"/>
      <c r="EUS127" s="5"/>
      <c r="EUT127" s="5"/>
      <c r="EUU127" s="5"/>
      <c r="EUV127" s="5"/>
      <c r="EUW127" s="5"/>
      <c r="EUX127" s="5"/>
      <c r="EUY127" s="5"/>
      <c r="EUZ127" s="5"/>
      <c r="EVA127" s="5"/>
      <c r="EVB127" s="5"/>
      <c r="EVC127" s="5"/>
      <c r="EVD127" s="5"/>
      <c r="EVE127" s="5"/>
      <c r="EVF127" s="5"/>
      <c r="EVG127" s="5"/>
      <c r="EVH127" s="5"/>
      <c r="EVI127" s="5"/>
      <c r="EVJ127" s="5"/>
      <c r="EVK127" s="5"/>
      <c r="EVL127" s="5"/>
      <c r="EVM127" s="5"/>
      <c r="EVN127" s="5"/>
      <c r="EVO127" s="5"/>
      <c r="EVP127" s="5"/>
      <c r="EVQ127" s="5"/>
      <c r="EVR127" s="5"/>
      <c r="EVS127" s="5"/>
      <c r="EVT127" s="5"/>
      <c r="EVU127" s="5"/>
      <c r="EVV127" s="5"/>
      <c r="EVW127" s="5"/>
      <c r="EVX127" s="5"/>
      <c r="EVY127" s="5"/>
      <c r="EVZ127" s="5"/>
      <c r="EWA127" s="5"/>
      <c r="EWB127" s="5"/>
      <c r="EWC127" s="5"/>
      <c r="EWD127" s="5"/>
      <c r="EWE127" s="5"/>
      <c r="EWF127" s="5"/>
      <c r="EWG127" s="5"/>
      <c r="EWH127" s="5"/>
      <c r="EWI127" s="5"/>
      <c r="EWJ127" s="5"/>
      <c r="EWK127" s="5"/>
      <c r="EWL127" s="5"/>
      <c r="EWM127" s="5"/>
      <c r="EWN127" s="5"/>
      <c r="EWO127" s="5"/>
      <c r="EWP127" s="5"/>
      <c r="EWQ127" s="5"/>
      <c r="EWR127" s="5"/>
      <c r="EWS127" s="5"/>
      <c r="EWT127" s="5"/>
      <c r="EWU127" s="5"/>
      <c r="EWV127" s="5"/>
      <c r="EWW127" s="5"/>
      <c r="EWX127" s="5"/>
      <c r="EWY127" s="5"/>
      <c r="EWZ127" s="5"/>
      <c r="EXA127" s="5"/>
      <c r="EXB127" s="5"/>
      <c r="EXC127" s="5"/>
      <c r="EXD127" s="5"/>
      <c r="EXE127" s="5"/>
      <c r="EXF127" s="5"/>
      <c r="EXG127" s="5"/>
      <c r="EXH127" s="5"/>
      <c r="EXI127" s="5"/>
      <c r="EXJ127" s="5"/>
      <c r="EXK127" s="5"/>
      <c r="EXL127" s="5"/>
      <c r="EXM127" s="5"/>
      <c r="EXN127" s="5"/>
      <c r="EXO127" s="5"/>
      <c r="EXP127" s="5"/>
      <c r="EXQ127" s="5"/>
      <c r="EXR127" s="5"/>
      <c r="EXS127" s="5"/>
      <c r="EXT127" s="5"/>
      <c r="EXU127" s="5"/>
      <c r="EXV127" s="5"/>
      <c r="EXW127" s="5"/>
      <c r="EXX127" s="5"/>
      <c r="EXY127" s="5"/>
      <c r="EXZ127" s="5"/>
      <c r="EYA127" s="5"/>
      <c r="EYB127" s="5"/>
      <c r="EYC127" s="5"/>
      <c r="EYD127" s="5"/>
      <c r="EYE127" s="5"/>
      <c r="EYF127" s="5"/>
      <c r="EYG127" s="5"/>
      <c r="EYH127" s="5"/>
      <c r="EYI127" s="5"/>
      <c r="EYJ127" s="5"/>
      <c r="EYK127" s="5"/>
      <c r="EYL127" s="5"/>
      <c r="EYM127" s="5"/>
      <c r="EYN127" s="5"/>
      <c r="EYO127" s="5"/>
      <c r="EYP127" s="5"/>
      <c r="EYQ127" s="5"/>
      <c r="EYR127" s="5"/>
      <c r="EYS127" s="5"/>
      <c r="EYT127" s="5"/>
      <c r="EYU127" s="5"/>
      <c r="EYV127" s="5"/>
      <c r="EYW127" s="5"/>
      <c r="EYX127" s="5"/>
      <c r="EYY127" s="5"/>
      <c r="EYZ127" s="5"/>
      <c r="EZA127" s="5"/>
      <c r="EZB127" s="5"/>
      <c r="EZC127" s="5"/>
      <c r="EZD127" s="5"/>
      <c r="EZE127" s="5"/>
      <c r="EZF127" s="5"/>
      <c r="EZG127" s="5"/>
      <c r="EZH127" s="5"/>
      <c r="EZI127" s="5"/>
      <c r="EZJ127" s="5"/>
      <c r="EZK127" s="5"/>
      <c r="EZL127" s="5"/>
      <c r="EZM127" s="5"/>
      <c r="EZN127" s="5"/>
      <c r="EZO127" s="5"/>
      <c r="EZP127" s="5"/>
      <c r="EZQ127" s="5"/>
      <c r="EZR127" s="5"/>
      <c r="EZS127" s="5"/>
      <c r="EZT127" s="5"/>
      <c r="EZU127" s="5"/>
      <c r="EZV127" s="5"/>
      <c r="EZW127" s="5"/>
      <c r="EZX127" s="5"/>
      <c r="EZY127" s="5"/>
      <c r="EZZ127" s="5"/>
      <c r="FAA127" s="5"/>
      <c r="FAB127" s="5"/>
      <c r="FAC127" s="5"/>
      <c r="FAD127" s="5"/>
      <c r="FAE127" s="5"/>
      <c r="FAF127" s="5"/>
      <c r="FAG127" s="5"/>
      <c r="FAH127" s="5"/>
      <c r="FAI127" s="5"/>
      <c r="FAJ127" s="5"/>
      <c r="FAK127" s="5"/>
      <c r="FAL127" s="5"/>
      <c r="FAM127" s="5"/>
      <c r="FAN127" s="5"/>
      <c r="FAO127" s="5"/>
      <c r="FAP127" s="5"/>
      <c r="FAQ127" s="5"/>
      <c r="FAR127" s="5"/>
      <c r="FAS127" s="5"/>
      <c r="FAT127" s="5"/>
      <c r="FAU127" s="5"/>
      <c r="FAV127" s="5"/>
      <c r="FAW127" s="5"/>
      <c r="FAX127" s="5"/>
      <c r="FAY127" s="5"/>
      <c r="FAZ127" s="5"/>
      <c r="FBA127" s="5"/>
      <c r="FBB127" s="5"/>
      <c r="FBC127" s="5"/>
      <c r="FBD127" s="5"/>
      <c r="FBE127" s="5"/>
      <c r="FBF127" s="5"/>
      <c r="FBG127" s="5"/>
      <c r="FBH127" s="5"/>
      <c r="FBI127" s="5"/>
      <c r="FBJ127" s="5"/>
      <c r="FBK127" s="5"/>
      <c r="FBL127" s="5"/>
      <c r="FBM127" s="5"/>
      <c r="FBN127" s="5"/>
      <c r="FBO127" s="5"/>
      <c r="FBP127" s="5"/>
      <c r="FBQ127" s="5"/>
      <c r="FBR127" s="5"/>
      <c r="FBS127" s="5"/>
      <c r="FBT127" s="5"/>
      <c r="FBU127" s="5"/>
      <c r="FBV127" s="5"/>
      <c r="FBW127" s="5"/>
      <c r="FBX127" s="5"/>
      <c r="FBY127" s="5"/>
      <c r="FBZ127" s="5"/>
      <c r="FCA127" s="5"/>
      <c r="FCB127" s="5"/>
      <c r="FCC127" s="5"/>
      <c r="FCD127" s="5"/>
      <c r="FCE127" s="5"/>
      <c r="FCF127" s="5"/>
      <c r="FCG127" s="5"/>
      <c r="FCH127" s="5"/>
      <c r="FCI127" s="5"/>
      <c r="FCJ127" s="5"/>
      <c r="FCK127" s="5"/>
      <c r="FCL127" s="5"/>
      <c r="FCM127" s="5"/>
      <c r="FCN127" s="5"/>
      <c r="FCO127" s="5"/>
      <c r="FCP127" s="5"/>
      <c r="FCQ127" s="5"/>
      <c r="FCR127" s="5"/>
      <c r="FCS127" s="5"/>
      <c r="FCT127" s="5"/>
      <c r="FCU127" s="5"/>
      <c r="FCV127" s="5"/>
      <c r="FCW127" s="5"/>
      <c r="FCX127" s="5"/>
      <c r="FCY127" s="5"/>
      <c r="FCZ127" s="5"/>
      <c r="FDA127" s="5"/>
      <c r="FDB127" s="5"/>
      <c r="FDC127" s="5"/>
      <c r="FDD127" s="5"/>
      <c r="FDE127" s="5"/>
      <c r="FDF127" s="5"/>
      <c r="FDG127" s="5"/>
      <c r="FDH127" s="5"/>
      <c r="FDI127" s="5"/>
      <c r="FDJ127" s="5"/>
      <c r="FDK127" s="5"/>
      <c r="FDL127" s="5"/>
      <c r="FDM127" s="5"/>
      <c r="FDN127" s="5"/>
      <c r="FDO127" s="5"/>
      <c r="FDP127" s="5"/>
      <c r="FDQ127" s="5"/>
      <c r="FDR127" s="5"/>
      <c r="FDS127" s="5"/>
      <c r="FDT127" s="5"/>
      <c r="FDU127" s="5"/>
      <c r="FDV127" s="5"/>
      <c r="FDW127" s="5"/>
      <c r="FDX127" s="5"/>
      <c r="FDY127" s="5"/>
      <c r="FDZ127" s="5"/>
      <c r="FEA127" s="5"/>
      <c r="FEB127" s="5"/>
      <c r="FEC127" s="5"/>
      <c r="FED127" s="5"/>
      <c r="FEE127" s="5"/>
      <c r="FEF127" s="5"/>
      <c r="FEG127" s="5"/>
      <c r="FEH127" s="5"/>
      <c r="FEI127" s="5"/>
      <c r="FEJ127" s="5"/>
      <c r="FEK127" s="5"/>
      <c r="FEL127" s="5"/>
      <c r="FEM127" s="5"/>
      <c r="FEN127" s="5"/>
      <c r="FEO127" s="5"/>
      <c r="FEP127" s="5"/>
      <c r="FEQ127" s="5"/>
      <c r="FER127" s="5"/>
      <c r="FES127" s="5"/>
      <c r="FET127" s="5"/>
      <c r="FEU127" s="5"/>
      <c r="FEV127" s="5"/>
      <c r="FEW127" s="5"/>
      <c r="FEX127" s="5"/>
      <c r="FEY127" s="5"/>
      <c r="FEZ127" s="5"/>
      <c r="FFA127" s="5"/>
      <c r="FFB127" s="5"/>
      <c r="FFC127" s="5"/>
      <c r="FFD127" s="5"/>
      <c r="FFE127" s="5"/>
      <c r="FFF127" s="5"/>
      <c r="FFG127" s="5"/>
      <c r="FFH127" s="5"/>
      <c r="FFI127" s="5"/>
      <c r="FFJ127" s="5"/>
      <c r="FFK127" s="5"/>
      <c r="FFL127" s="5"/>
      <c r="FFM127" s="5"/>
      <c r="FFN127" s="5"/>
      <c r="FFO127" s="5"/>
      <c r="FFP127" s="5"/>
      <c r="FFQ127" s="5"/>
      <c r="FFR127" s="5"/>
      <c r="FFS127" s="5"/>
      <c r="FFT127" s="5"/>
      <c r="FFU127" s="5"/>
      <c r="FFV127" s="5"/>
      <c r="FFW127" s="5"/>
      <c r="FFX127" s="5"/>
      <c r="FFY127" s="5"/>
      <c r="FFZ127" s="5"/>
      <c r="FGA127" s="5"/>
      <c r="FGB127" s="5"/>
      <c r="FGC127" s="5"/>
      <c r="FGD127" s="5"/>
      <c r="FGE127" s="5"/>
      <c r="FGF127" s="5"/>
      <c r="FGG127" s="5"/>
      <c r="FGH127" s="5"/>
      <c r="FGI127" s="5"/>
      <c r="FGJ127" s="5"/>
      <c r="FGK127" s="5"/>
      <c r="FGL127" s="5"/>
      <c r="FGM127" s="5"/>
      <c r="FGN127" s="5"/>
      <c r="FGO127" s="5"/>
      <c r="FGP127" s="5"/>
      <c r="FGQ127" s="5"/>
      <c r="FGR127" s="5"/>
      <c r="FGS127" s="5"/>
      <c r="FGT127" s="5"/>
      <c r="FGU127" s="5"/>
      <c r="FGV127" s="5"/>
      <c r="FGW127" s="5"/>
      <c r="FGX127" s="5"/>
      <c r="FGY127" s="5"/>
      <c r="FGZ127" s="5"/>
      <c r="FHA127" s="5"/>
      <c r="FHB127" s="5"/>
      <c r="FHC127" s="5"/>
      <c r="FHD127" s="5"/>
      <c r="FHE127" s="5"/>
      <c r="FHF127" s="5"/>
      <c r="FHG127" s="5"/>
      <c r="FHH127" s="5"/>
      <c r="FHI127" s="5"/>
      <c r="FHJ127" s="5"/>
      <c r="FHK127" s="5"/>
      <c r="FHL127" s="5"/>
      <c r="FHM127" s="5"/>
      <c r="FHN127" s="5"/>
      <c r="FHO127" s="5"/>
      <c r="FHP127" s="5"/>
      <c r="FHQ127" s="5"/>
      <c r="FHR127" s="5"/>
      <c r="FHS127" s="5"/>
      <c r="FHT127" s="5"/>
      <c r="FHU127" s="5"/>
      <c r="FHV127" s="5"/>
      <c r="FHW127" s="5"/>
      <c r="FHX127" s="5"/>
      <c r="FHY127" s="5"/>
      <c r="FHZ127" s="5"/>
      <c r="FIA127" s="5"/>
      <c r="FIB127" s="5"/>
      <c r="FIC127" s="5"/>
      <c r="FID127" s="5"/>
      <c r="FIE127" s="5"/>
      <c r="FIF127" s="5"/>
      <c r="FIG127" s="5"/>
      <c r="FIH127" s="5"/>
      <c r="FII127" s="5"/>
      <c r="FIJ127" s="5"/>
      <c r="FIK127" s="5"/>
      <c r="FIL127" s="5"/>
      <c r="FIM127" s="5"/>
      <c r="FIN127" s="5"/>
      <c r="FIO127" s="5"/>
      <c r="FIP127" s="5"/>
      <c r="FIQ127" s="5"/>
      <c r="FIR127" s="5"/>
      <c r="FIS127" s="5"/>
      <c r="FIT127" s="5"/>
      <c r="FIU127" s="5"/>
      <c r="FIV127" s="5"/>
      <c r="FIW127" s="5"/>
      <c r="FIX127" s="5"/>
      <c r="FIY127" s="5"/>
      <c r="FIZ127" s="5"/>
      <c r="FJA127" s="5"/>
      <c r="FJB127" s="5"/>
      <c r="FJC127" s="5"/>
      <c r="FJD127" s="5"/>
      <c r="FJE127" s="5"/>
      <c r="FJF127" s="5"/>
      <c r="FJG127" s="5"/>
      <c r="FJH127" s="5"/>
      <c r="FJI127" s="5"/>
      <c r="FJJ127" s="5"/>
      <c r="FJK127" s="5"/>
      <c r="FJL127" s="5"/>
      <c r="FJM127" s="5"/>
      <c r="FJN127" s="5"/>
      <c r="FJO127" s="5"/>
      <c r="FJP127" s="5"/>
      <c r="FJQ127" s="5"/>
      <c r="FJR127" s="5"/>
      <c r="FJS127" s="5"/>
      <c r="FJT127" s="5"/>
      <c r="FJU127" s="5"/>
      <c r="FJV127" s="5"/>
      <c r="FJW127" s="5"/>
      <c r="FJX127" s="5"/>
      <c r="FJY127" s="5"/>
      <c r="FJZ127" s="5"/>
      <c r="FKA127" s="5"/>
      <c r="FKB127" s="5"/>
      <c r="FKC127" s="5"/>
      <c r="FKD127" s="5"/>
      <c r="FKE127" s="5"/>
      <c r="FKF127" s="5"/>
      <c r="FKG127" s="5"/>
      <c r="FKH127" s="5"/>
      <c r="FKI127" s="5"/>
      <c r="FKJ127" s="5"/>
      <c r="FKK127" s="5"/>
      <c r="FKL127" s="5"/>
      <c r="FKM127" s="5"/>
      <c r="FKN127" s="5"/>
      <c r="FKO127" s="5"/>
      <c r="FKP127" s="5"/>
      <c r="FKQ127" s="5"/>
      <c r="FKR127" s="5"/>
      <c r="FKS127" s="5"/>
      <c r="FKT127" s="5"/>
      <c r="FKU127" s="5"/>
      <c r="FKV127" s="5"/>
      <c r="FKW127" s="5"/>
      <c r="FKX127" s="5"/>
      <c r="FKY127" s="5"/>
      <c r="FKZ127" s="5"/>
      <c r="FLA127" s="5"/>
      <c r="FLB127" s="5"/>
      <c r="FLC127" s="5"/>
      <c r="FLD127" s="5"/>
      <c r="FLE127" s="5"/>
      <c r="FLF127" s="5"/>
      <c r="FLG127" s="5"/>
      <c r="FLH127" s="5"/>
      <c r="FLI127" s="5"/>
      <c r="FLJ127" s="5"/>
      <c r="FLK127" s="5"/>
      <c r="FLL127" s="5"/>
      <c r="FLM127" s="5"/>
      <c r="FLN127" s="5"/>
      <c r="FLO127" s="5"/>
      <c r="FLP127" s="5"/>
      <c r="FLQ127" s="5"/>
      <c r="FLR127" s="5"/>
      <c r="FLS127" s="5"/>
      <c r="FLT127" s="5"/>
      <c r="FLU127" s="5"/>
      <c r="FLV127" s="5"/>
      <c r="FLW127" s="5"/>
      <c r="FLX127" s="5"/>
      <c r="FLY127" s="5"/>
      <c r="FLZ127" s="5"/>
      <c r="FMA127" s="5"/>
      <c r="FMB127" s="5"/>
      <c r="FMC127" s="5"/>
      <c r="FMD127" s="5"/>
      <c r="FME127" s="5"/>
      <c r="FMF127" s="5"/>
      <c r="FMG127" s="5"/>
      <c r="FMH127" s="5"/>
      <c r="FMI127" s="5"/>
      <c r="FMJ127" s="5"/>
      <c r="FMK127" s="5"/>
      <c r="FML127" s="5"/>
      <c r="FMM127" s="5"/>
      <c r="FMN127" s="5"/>
      <c r="FMO127" s="5"/>
      <c r="FMP127" s="5"/>
      <c r="FMQ127" s="5"/>
      <c r="FMR127" s="5"/>
      <c r="FMS127" s="5"/>
      <c r="FMT127" s="5"/>
      <c r="FMU127" s="5"/>
      <c r="FMV127" s="5"/>
      <c r="FMW127" s="5"/>
      <c r="FMX127" s="5"/>
      <c r="FMY127" s="5"/>
      <c r="FMZ127" s="5"/>
      <c r="FNA127" s="5"/>
      <c r="FNB127" s="5"/>
      <c r="FNC127" s="5"/>
      <c r="FND127" s="5"/>
      <c r="FNE127" s="5"/>
      <c r="FNF127" s="5"/>
      <c r="FNG127" s="5"/>
      <c r="FNH127" s="5"/>
      <c r="FNI127" s="5"/>
      <c r="FNJ127" s="5"/>
      <c r="FNK127" s="5"/>
      <c r="FNL127" s="5"/>
      <c r="FNM127" s="5"/>
      <c r="FNN127" s="5"/>
      <c r="FNO127" s="5"/>
      <c r="FNP127" s="5"/>
      <c r="FNQ127" s="5"/>
      <c r="FNR127" s="5"/>
      <c r="FNS127" s="5"/>
      <c r="FNT127" s="5"/>
      <c r="FNU127" s="5"/>
      <c r="FNV127" s="5"/>
      <c r="FNW127" s="5"/>
      <c r="FNX127" s="5"/>
      <c r="FNY127" s="5"/>
      <c r="FNZ127" s="5"/>
      <c r="FOA127" s="5"/>
      <c r="FOB127" s="5"/>
      <c r="FOC127" s="5"/>
      <c r="FOD127" s="5"/>
      <c r="FOE127" s="5"/>
      <c r="FOF127" s="5"/>
      <c r="FOG127" s="5"/>
      <c r="FOH127" s="5"/>
      <c r="FOI127" s="5"/>
      <c r="FOJ127" s="5"/>
      <c r="FOK127" s="5"/>
      <c r="FOL127" s="5"/>
      <c r="FOM127" s="5"/>
      <c r="FON127" s="5"/>
      <c r="FOO127" s="5"/>
      <c r="FOP127" s="5"/>
      <c r="FOQ127" s="5"/>
      <c r="FOR127" s="5"/>
      <c r="FOS127" s="5"/>
      <c r="FOT127" s="5"/>
      <c r="FOU127" s="5"/>
      <c r="FOV127" s="5"/>
      <c r="FOW127" s="5"/>
      <c r="FOX127" s="5"/>
      <c r="FOY127" s="5"/>
      <c r="FOZ127" s="5"/>
      <c r="FPA127" s="5"/>
      <c r="FPB127" s="5"/>
      <c r="FPC127" s="5"/>
      <c r="FPD127" s="5"/>
      <c r="FPE127" s="5"/>
      <c r="FPF127" s="5"/>
      <c r="FPG127" s="5"/>
      <c r="FPH127" s="5"/>
      <c r="FPI127" s="5"/>
      <c r="FPJ127" s="5"/>
      <c r="FPK127" s="5"/>
      <c r="FPL127" s="5"/>
      <c r="FPM127" s="5"/>
      <c r="FPN127" s="5"/>
      <c r="FPO127" s="5"/>
      <c r="FPP127" s="5"/>
      <c r="FPQ127" s="5"/>
      <c r="FPR127" s="5"/>
      <c r="FPS127" s="5"/>
      <c r="FPT127" s="5"/>
      <c r="FPU127" s="5"/>
      <c r="FPV127" s="5"/>
      <c r="FPW127" s="5"/>
      <c r="FPX127" s="5"/>
      <c r="FPY127" s="5"/>
      <c r="FPZ127" s="5"/>
      <c r="FQA127" s="5"/>
      <c r="FQB127" s="5"/>
      <c r="FQC127" s="5"/>
      <c r="FQD127" s="5"/>
      <c r="FQE127" s="5"/>
      <c r="FQF127" s="5"/>
      <c r="FQG127" s="5"/>
      <c r="FQH127" s="5"/>
      <c r="FQI127" s="5"/>
      <c r="FQJ127" s="5"/>
      <c r="FQK127" s="5"/>
      <c r="FQL127" s="5"/>
      <c r="FQM127" s="5"/>
      <c r="FQN127" s="5"/>
      <c r="FQO127" s="5"/>
      <c r="FQP127" s="5"/>
      <c r="FQQ127" s="5"/>
      <c r="FQR127" s="5"/>
      <c r="FQS127" s="5"/>
      <c r="FQT127" s="5"/>
      <c r="FQU127" s="5"/>
      <c r="FQV127" s="5"/>
      <c r="FQW127" s="5"/>
      <c r="FQX127" s="5"/>
      <c r="FQY127" s="5"/>
      <c r="FQZ127" s="5"/>
      <c r="FRA127" s="5"/>
      <c r="FRB127" s="5"/>
      <c r="FRC127" s="5"/>
      <c r="FRD127" s="5"/>
      <c r="FRE127" s="5"/>
      <c r="FRF127" s="5"/>
      <c r="FRG127" s="5"/>
      <c r="FRH127" s="5"/>
      <c r="FRI127" s="5"/>
      <c r="FRJ127" s="5"/>
      <c r="FRK127" s="5"/>
      <c r="FRL127" s="5"/>
      <c r="FRM127" s="5"/>
      <c r="FRN127" s="5"/>
      <c r="FRO127" s="5"/>
      <c r="FRP127" s="5"/>
      <c r="FRQ127" s="5"/>
      <c r="FRR127" s="5"/>
      <c r="FRS127" s="5"/>
      <c r="FRT127" s="5"/>
      <c r="FRU127" s="5"/>
      <c r="FRV127" s="5"/>
      <c r="FRW127" s="5"/>
      <c r="FRX127" s="5"/>
      <c r="FRY127" s="5"/>
      <c r="FRZ127" s="5"/>
      <c r="FSA127" s="5"/>
      <c r="FSB127" s="5"/>
      <c r="FSC127" s="5"/>
      <c r="FSD127" s="5"/>
      <c r="FSE127" s="5"/>
      <c r="FSF127" s="5"/>
      <c r="FSG127" s="5"/>
      <c r="FSH127" s="5"/>
      <c r="FSI127" s="5"/>
      <c r="FSJ127" s="5"/>
      <c r="FSK127" s="5"/>
      <c r="FSL127" s="5"/>
      <c r="FSM127" s="5"/>
      <c r="FSN127" s="5"/>
      <c r="FSO127" s="5"/>
      <c r="FSP127" s="5"/>
      <c r="FSQ127" s="5"/>
      <c r="FSR127" s="5"/>
      <c r="FSS127" s="5"/>
      <c r="FST127" s="5"/>
      <c r="FSU127" s="5"/>
      <c r="FSV127" s="5"/>
      <c r="FSW127" s="5"/>
      <c r="FSX127" s="5"/>
      <c r="FSY127" s="5"/>
      <c r="FSZ127" s="5"/>
      <c r="FTA127" s="5"/>
      <c r="FTB127" s="5"/>
      <c r="FTC127" s="5"/>
      <c r="FTD127" s="5"/>
      <c r="FTE127" s="5"/>
      <c r="FTF127" s="5"/>
      <c r="FTG127" s="5"/>
      <c r="FTH127" s="5"/>
      <c r="FTI127" s="5"/>
      <c r="FTJ127" s="5"/>
      <c r="FTK127" s="5"/>
      <c r="FTL127" s="5"/>
      <c r="FTM127" s="5"/>
      <c r="FTN127" s="5"/>
      <c r="FTO127" s="5"/>
      <c r="FTP127" s="5"/>
      <c r="FTQ127" s="5"/>
      <c r="FTR127" s="5"/>
      <c r="FTS127" s="5"/>
      <c r="FTT127" s="5"/>
      <c r="FTU127" s="5"/>
      <c r="FTV127" s="5"/>
      <c r="FTW127" s="5"/>
      <c r="FTX127" s="5"/>
      <c r="FTY127" s="5"/>
      <c r="FTZ127" s="5"/>
      <c r="FUA127" s="5"/>
      <c r="FUB127" s="5"/>
      <c r="FUC127" s="5"/>
      <c r="FUD127" s="5"/>
      <c r="FUE127" s="5"/>
      <c r="FUF127" s="5"/>
      <c r="FUG127" s="5"/>
      <c r="FUH127" s="5"/>
      <c r="FUI127" s="5"/>
      <c r="FUJ127" s="5"/>
      <c r="FUK127" s="5"/>
      <c r="FUL127" s="5"/>
      <c r="FUM127" s="5"/>
      <c r="FUN127" s="5"/>
      <c r="FUO127" s="5"/>
      <c r="FUP127" s="5"/>
      <c r="FUQ127" s="5"/>
      <c r="FUR127" s="5"/>
      <c r="FUS127" s="5"/>
      <c r="FUT127" s="5"/>
      <c r="FUU127" s="5"/>
      <c r="FUV127" s="5"/>
      <c r="FUW127" s="5"/>
      <c r="FUX127" s="5"/>
      <c r="FUY127" s="5"/>
      <c r="FUZ127" s="5"/>
      <c r="FVA127" s="5"/>
      <c r="FVB127" s="5"/>
      <c r="FVC127" s="5"/>
      <c r="FVD127" s="5"/>
      <c r="FVE127" s="5"/>
      <c r="FVF127" s="5"/>
      <c r="FVG127" s="5"/>
      <c r="FVH127" s="5"/>
      <c r="FVI127" s="5"/>
      <c r="FVJ127" s="5"/>
      <c r="FVK127" s="5"/>
      <c r="FVL127" s="5"/>
      <c r="FVM127" s="5"/>
      <c r="FVN127" s="5"/>
      <c r="FVO127" s="5"/>
      <c r="FVP127" s="5"/>
      <c r="FVQ127" s="5"/>
      <c r="FVR127" s="5"/>
      <c r="FVS127" s="5"/>
      <c r="FVT127" s="5"/>
      <c r="FVU127" s="5"/>
      <c r="FVV127" s="5"/>
      <c r="FVW127" s="5"/>
      <c r="FVX127" s="5"/>
      <c r="FVY127" s="5"/>
      <c r="FVZ127" s="5"/>
      <c r="FWA127" s="5"/>
      <c r="FWB127" s="5"/>
      <c r="FWC127" s="5"/>
      <c r="FWD127" s="5"/>
      <c r="FWE127" s="5"/>
      <c r="FWF127" s="5"/>
      <c r="FWG127" s="5"/>
      <c r="FWH127" s="5"/>
      <c r="FWI127" s="5"/>
      <c r="FWJ127" s="5"/>
      <c r="FWK127" s="5"/>
      <c r="FWL127" s="5"/>
      <c r="FWM127" s="5"/>
      <c r="FWN127" s="5"/>
      <c r="FWO127" s="5"/>
      <c r="FWP127" s="5"/>
      <c r="FWQ127" s="5"/>
      <c r="FWR127" s="5"/>
      <c r="FWS127" s="5"/>
      <c r="FWT127" s="5"/>
      <c r="FWU127" s="5"/>
      <c r="FWV127" s="5"/>
      <c r="FWW127" s="5"/>
      <c r="FWX127" s="5"/>
      <c r="FWY127" s="5"/>
      <c r="FWZ127" s="5"/>
      <c r="FXA127" s="5"/>
      <c r="FXB127" s="5"/>
      <c r="FXC127" s="5"/>
      <c r="FXD127" s="5"/>
      <c r="FXE127" s="5"/>
      <c r="FXF127" s="5"/>
      <c r="FXG127" s="5"/>
      <c r="FXH127" s="5"/>
      <c r="FXI127" s="5"/>
      <c r="FXJ127" s="5"/>
      <c r="FXK127" s="5"/>
      <c r="FXL127" s="5"/>
      <c r="FXM127" s="5"/>
      <c r="FXN127" s="5"/>
      <c r="FXO127" s="5"/>
      <c r="FXP127" s="5"/>
      <c r="FXQ127" s="5"/>
      <c r="FXR127" s="5"/>
      <c r="FXS127" s="5"/>
      <c r="FXT127" s="5"/>
      <c r="FXU127" s="5"/>
      <c r="FXV127" s="5"/>
      <c r="FXW127" s="5"/>
      <c r="FXX127" s="5"/>
      <c r="FXY127" s="5"/>
      <c r="FXZ127" s="5"/>
      <c r="FYA127" s="5"/>
      <c r="FYB127" s="5"/>
      <c r="FYC127" s="5"/>
      <c r="FYD127" s="5"/>
      <c r="FYE127" s="5"/>
      <c r="FYF127" s="5"/>
      <c r="FYG127" s="5"/>
      <c r="FYH127" s="5"/>
      <c r="FYI127" s="5"/>
      <c r="FYJ127" s="5"/>
      <c r="FYK127" s="5"/>
      <c r="FYL127" s="5"/>
      <c r="FYM127" s="5"/>
      <c r="FYN127" s="5"/>
      <c r="FYO127" s="5"/>
      <c r="FYP127" s="5"/>
      <c r="FYQ127" s="5"/>
      <c r="FYR127" s="5"/>
      <c r="FYS127" s="5"/>
      <c r="FYT127" s="5"/>
      <c r="FYU127" s="5"/>
      <c r="FYV127" s="5"/>
      <c r="FYW127" s="5"/>
      <c r="FYX127" s="5"/>
      <c r="FYY127" s="5"/>
      <c r="FYZ127" s="5"/>
      <c r="FZA127" s="5"/>
      <c r="FZB127" s="5"/>
      <c r="FZC127" s="5"/>
      <c r="FZD127" s="5"/>
      <c r="FZE127" s="5"/>
      <c r="FZF127" s="5"/>
      <c r="FZG127" s="5"/>
      <c r="FZH127" s="5"/>
      <c r="FZI127" s="5"/>
      <c r="FZJ127" s="5"/>
      <c r="FZK127" s="5"/>
      <c r="FZL127" s="5"/>
      <c r="FZM127" s="5"/>
      <c r="FZN127" s="5"/>
      <c r="FZO127" s="5"/>
      <c r="FZP127" s="5"/>
      <c r="FZQ127" s="5"/>
      <c r="FZR127" s="5"/>
      <c r="FZS127" s="5"/>
      <c r="FZT127" s="5"/>
      <c r="FZU127" s="5"/>
      <c r="FZV127" s="5"/>
      <c r="FZW127" s="5"/>
      <c r="FZX127" s="5"/>
      <c r="FZY127" s="5"/>
      <c r="FZZ127" s="5"/>
      <c r="GAA127" s="5"/>
      <c r="GAB127" s="5"/>
      <c r="GAC127" s="5"/>
      <c r="GAD127" s="5"/>
      <c r="GAE127" s="5"/>
      <c r="GAF127" s="5"/>
      <c r="GAG127" s="5"/>
      <c r="GAH127" s="5"/>
      <c r="GAI127" s="5"/>
      <c r="GAJ127" s="5"/>
      <c r="GAK127" s="5"/>
      <c r="GAL127" s="5"/>
      <c r="GAM127" s="5"/>
      <c r="GAN127" s="5"/>
      <c r="GAO127" s="5"/>
      <c r="GAP127" s="5"/>
      <c r="GAQ127" s="5"/>
      <c r="GAR127" s="5"/>
      <c r="GAS127" s="5"/>
      <c r="GAT127" s="5"/>
      <c r="GAU127" s="5"/>
      <c r="GAV127" s="5"/>
      <c r="GAW127" s="5"/>
      <c r="GAX127" s="5"/>
      <c r="GAY127" s="5"/>
      <c r="GAZ127" s="5"/>
      <c r="GBA127" s="5"/>
      <c r="GBB127" s="5"/>
      <c r="GBC127" s="5"/>
      <c r="GBD127" s="5"/>
      <c r="GBE127" s="5"/>
      <c r="GBF127" s="5"/>
      <c r="GBG127" s="5"/>
      <c r="GBH127" s="5"/>
      <c r="GBI127" s="5"/>
      <c r="GBJ127" s="5"/>
      <c r="GBK127" s="5"/>
      <c r="GBL127" s="5"/>
      <c r="GBM127" s="5"/>
      <c r="GBN127" s="5"/>
      <c r="GBO127" s="5"/>
      <c r="GBP127" s="5"/>
      <c r="GBQ127" s="5"/>
      <c r="GBR127" s="5"/>
      <c r="GBS127" s="5"/>
      <c r="GBT127" s="5"/>
      <c r="GBU127" s="5"/>
      <c r="GBV127" s="5"/>
      <c r="GBW127" s="5"/>
      <c r="GBX127" s="5"/>
      <c r="GBY127" s="5"/>
      <c r="GBZ127" s="5"/>
      <c r="GCA127" s="5"/>
      <c r="GCB127" s="5"/>
      <c r="GCC127" s="5"/>
      <c r="GCD127" s="5"/>
      <c r="GCE127" s="5"/>
      <c r="GCF127" s="5"/>
      <c r="GCG127" s="5"/>
      <c r="GCH127" s="5"/>
      <c r="GCI127" s="5"/>
      <c r="GCJ127" s="5"/>
      <c r="GCK127" s="5"/>
      <c r="GCL127" s="5"/>
      <c r="GCM127" s="5"/>
      <c r="GCN127" s="5"/>
      <c r="GCO127" s="5"/>
      <c r="GCP127" s="5"/>
      <c r="GCQ127" s="5"/>
      <c r="GCR127" s="5"/>
      <c r="GCS127" s="5"/>
      <c r="GCT127" s="5"/>
      <c r="GCU127" s="5"/>
      <c r="GCV127" s="5"/>
      <c r="GCW127" s="5"/>
      <c r="GCX127" s="5"/>
      <c r="GCY127" s="5"/>
      <c r="GCZ127" s="5"/>
      <c r="GDA127" s="5"/>
      <c r="GDB127" s="5"/>
      <c r="GDC127" s="5"/>
      <c r="GDD127" s="5"/>
      <c r="GDE127" s="5"/>
      <c r="GDF127" s="5"/>
      <c r="GDG127" s="5"/>
      <c r="GDH127" s="5"/>
      <c r="GDI127" s="5"/>
      <c r="GDJ127" s="5"/>
      <c r="GDK127" s="5"/>
      <c r="GDL127" s="5"/>
      <c r="GDM127" s="5"/>
      <c r="GDN127" s="5"/>
      <c r="GDO127" s="5"/>
      <c r="GDP127" s="5"/>
      <c r="GDQ127" s="5"/>
      <c r="GDR127" s="5"/>
      <c r="GDS127" s="5"/>
      <c r="GDT127" s="5"/>
      <c r="GDU127" s="5"/>
      <c r="GDV127" s="5"/>
      <c r="GDW127" s="5"/>
      <c r="GDX127" s="5"/>
      <c r="GDY127" s="5"/>
      <c r="GDZ127" s="5"/>
      <c r="GEA127" s="5"/>
      <c r="GEB127" s="5"/>
      <c r="GEC127" s="5"/>
      <c r="GED127" s="5"/>
      <c r="GEE127" s="5"/>
      <c r="GEF127" s="5"/>
      <c r="GEG127" s="5"/>
      <c r="GEH127" s="5"/>
      <c r="GEI127" s="5"/>
      <c r="GEJ127" s="5"/>
      <c r="GEK127" s="5"/>
      <c r="GEL127" s="5"/>
      <c r="GEM127" s="5"/>
      <c r="GEN127" s="5"/>
      <c r="GEO127" s="5"/>
      <c r="GEP127" s="5"/>
      <c r="GEQ127" s="5"/>
      <c r="GER127" s="5"/>
      <c r="GES127" s="5"/>
      <c r="GET127" s="5"/>
      <c r="GEU127" s="5"/>
      <c r="GEV127" s="5"/>
      <c r="GEW127" s="5"/>
      <c r="GEX127" s="5"/>
      <c r="GEY127" s="5"/>
      <c r="GEZ127" s="5"/>
      <c r="GFA127" s="5"/>
      <c r="GFB127" s="5"/>
      <c r="GFC127" s="5"/>
      <c r="GFD127" s="5"/>
      <c r="GFE127" s="5"/>
      <c r="GFF127" s="5"/>
      <c r="GFG127" s="5"/>
      <c r="GFH127" s="5"/>
      <c r="GFI127" s="5"/>
      <c r="GFJ127" s="5"/>
      <c r="GFK127" s="5"/>
      <c r="GFL127" s="5"/>
      <c r="GFM127" s="5"/>
      <c r="GFN127" s="5"/>
      <c r="GFO127" s="5"/>
      <c r="GFP127" s="5"/>
      <c r="GFQ127" s="5"/>
      <c r="GFR127" s="5"/>
      <c r="GFS127" s="5"/>
      <c r="GFT127" s="5"/>
      <c r="GFU127" s="5"/>
      <c r="GFV127" s="5"/>
      <c r="GFW127" s="5"/>
      <c r="GFX127" s="5"/>
      <c r="GFY127" s="5"/>
      <c r="GFZ127" s="5"/>
      <c r="GGA127" s="5"/>
      <c r="GGB127" s="5"/>
      <c r="GGC127" s="5"/>
      <c r="GGD127" s="5"/>
      <c r="GGE127" s="5"/>
      <c r="GGF127" s="5"/>
      <c r="GGG127" s="5"/>
      <c r="GGH127" s="5"/>
      <c r="GGI127" s="5"/>
      <c r="GGJ127" s="5"/>
      <c r="GGK127" s="5"/>
      <c r="GGL127" s="5"/>
      <c r="GGM127" s="5"/>
      <c r="GGN127" s="5"/>
      <c r="GGO127" s="5"/>
      <c r="GGP127" s="5"/>
      <c r="GGQ127" s="5"/>
      <c r="GGR127" s="5"/>
      <c r="GGS127" s="5"/>
      <c r="GGT127" s="5"/>
      <c r="GGU127" s="5"/>
      <c r="GGV127" s="5"/>
      <c r="GGW127" s="5"/>
      <c r="GGX127" s="5"/>
      <c r="GGY127" s="5"/>
      <c r="GGZ127" s="5"/>
      <c r="GHA127" s="5"/>
      <c r="GHB127" s="5"/>
      <c r="GHC127" s="5"/>
      <c r="GHD127" s="5"/>
      <c r="GHE127" s="5"/>
      <c r="GHF127" s="5"/>
      <c r="GHG127" s="5"/>
      <c r="GHH127" s="5"/>
      <c r="GHI127" s="5"/>
      <c r="GHJ127" s="5"/>
      <c r="GHK127" s="5"/>
      <c r="GHL127" s="5"/>
      <c r="GHM127" s="5"/>
      <c r="GHN127" s="5"/>
      <c r="GHO127" s="5"/>
      <c r="GHP127" s="5"/>
      <c r="GHQ127" s="5"/>
      <c r="GHR127" s="5"/>
      <c r="GHS127" s="5"/>
      <c r="GHT127" s="5"/>
      <c r="GHU127" s="5"/>
      <c r="GHV127" s="5"/>
      <c r="GHW127" s="5"/>
      <c r="GHX127" s="5"/>
      <c r="GHY127" s="5"/>
      <c r="GHZ127" s="5"/>
      <c r="GIA127" s="5"/>
      <c r="GIB127" s="5"/>
      <c r="GIC127" s="5"/>
      <c r="GID127" s="5"/>
      <c r="GIE127" s="5"/>
      <c r="GIF127" s="5"/>
      <c r="GIG127" s="5"/>
      <c r="GIH127" s="5"/>
      <c r="GII127" s="5"/>
      <c r="GIJ127" s="5"/>
      <c r="GIK127" s="5"/>
      <c r="GIL127" s="5"/>
      <c r="GIM127" s="5"/>
      <c r="GIN127" s="5"/>
      <c r="GIO127" s="5"/>
      <c r="GIP127" s="5"/>
      <c r="GIQ127" s="5"/>
      <c r="GIR127" s="5"/>
      <c r="GIS127" s="5"/>
      <c r="GIT127" s="5"/>
      <c r="GIU127" s="5"/>
      <c r="GIV127" s="5"/>
      <c r="GIW127" s="5"/>
      <c r="GIX127" s="5"/>
      <c r="GIY127" s="5"/>
      <c r="GIZ127" s="5"/>
      <c r="GJA127" s="5"/>
      <c r="GJB127" s="5"/>
      <c r="GJC127" s="5"/>
      <c r="GJD127" s="5"/>
      <c r="GJE127" s="5"/>
      <c r="GJF127" s="5"/>
      <c r="GJG127" s="5"/>
      <c r="GJH127" s="5"/>
      <c r="GJI127" s="5"/>
      <c r="GJJ127" s="5"/>
      <c r="GJK127" s="5"/>
      <c r="GJL127" s="5"/>
      <c r="GJM127" s="5"/>
      <c r="GJN127" s="5"/>
      <c r="GJO127" s="5"/>
      <c r="GJP127" s="5"/>
      <c r="GJQ127" s="5"/>
      <c r="GJR127" s="5"/>
      <c r="GJS127" s="5"/>
      <c r="GJT127" s="5"/>
      <c r="GJU127" s="5"/>
      <c r="GJV127" s="5"/>
      <c r="GJW127" s="5"/>
      <c r="GJX127" s="5"/>
      <c r="GJY127" s="5"/>
      <c r="GJZ127" s="5"/>
      <c r="GKA127" s="5"/>
      <c r="GKB127" s="5"/>
      <c r="GKC127" s="5"/>
      <c r="GKD127" s="5"/>
      <c r="GKE127" s="5"/>
      <c r="GKF127" s="5"/>
      <c r="GKG127" s="5"/>
      <c r="GKH127" s="5"/>
      <c r="GKI127" s="5"/>
      <c r="GKJ127" s="5"/>
      <c r="GKK127" s="5"/>
      <c r="GKL127" s="5"/>
      <c r="GKM127" s="5"/>
      <c r="GKN127" s="5"/>
      <c r="GKO127" s="5"/>
      <c r="GKP127" s="5"/>
      <c r="GKQ127" s="5"/>
      <c r="GKR127" s="5"/>
      <c r="GKS127" s="5"/>
      <c r="GKT127" s="5"/>
      <c r="GKU127" s="5"/>
      <c r="GKV127" s="5"/>
      <c r="GKW127" s="5"/>
      <c r="GKX127" s="5"/>
      <c r="GKY127" s="5"/>
      <c r="GKZ127" s="5"/>
      <c r="GLA127" s="5"/>
      <c r="GLB127" s="5"/>
      <c r="GLC127" s="5"/>
      <c r="GLD127" s="5"/>
      <c r="GLE127" s="5"/>
      <c r="GLF127" s="5"/>
      <c r="GLG127" s="5"/>
      <c r="GLH127" s="5"/>
      <c r="GLI127" s="5"/>
      <c r="GLJ127" s="5"/>
      <c r="GLK127" s="5"/>
      <c r="GLL127" s="5"/>
      <c r="GLM127" s="5"/>
      <c r="GLN127" s="5"/>
      <c r="GLO127" s="5"/>
      <c r="GLP127" s="5"/>
      <c r="GLQ127" s="5"/>
      <c r="GLR127" s="5"/>
      <c r="GLS127" s="5"/>
      <c r="GLT127" s="5"/>
      <c r="GLU127" s="5"/>
      <c r="GLV127" s="5"/>
      <c r="GLW127" s="5"/>
      <c r="GLX127" s="5"/>
      <c r="GLY127" s="5"/>
      <c r="GLZ127" s="5"/>
      <c r="GMA127" s="5"/>
      <c r="GMB127" s="5"/>
      <c r="GMC127" s="5"/>
      <c r="GMD127" s="5"/>
      <c r="GME127" s="5"/>
      <c r="GMF127" s="5"/>
      <c r="GMG127" s="5"/>
      <c r="GMH127" s="5"/>
      <c r="GMI127" s="5"/>
      <c r="GMJ127" s="5"/>
      <c r="GMK127" s="5"/>
      <c r="GML127" s="5"/>
      <c r="GMM127" s="5"/>
      <c r="GMN127" s="5"/>
      <c r="GMO127" s="5"/>
      <c r="GMP127" s="5"/>
      <c r="GMQ127" s="5"/>
      <c r="GMR127" s="5"/>
      <c r="GMS127" s="5"/>
      <c r="GMT127" s="5"/>
      <c r="GMU127" s="5"/>
      <c r="GMV127" s="5"/>
      <c r="GMW127" s="5"/>
      <c r="GMX127" s="5"/>
      <c r="GMY127" s="5"/>
      <c r="GMZ127" s="5"/>
      <c r="GNA127" s="5"/>
      <c r="GNB127" s="5"/>
      <c r="GNC127" s="5"/>
      <c r="GND127" s="5"/>
      <c r="GNE127" s="5"/>
      <c r="GNF127" s="5"/>
      <c r="GNG127" s="5"/>
      <c r="GNH127" s="5"/>
      <c r="GNI127" s="5"/>
      <c r="GNJ127" s="5"/>
      <c r="GNK127" s="5"/>
      <c r="GNL127" s="5"/>
      <c r="GNM127" s="5"/>
      <c r="GNN127" s="5"/>
      <c r="GNO127" s="5"/>
      <c r="GNP127" s="5"/>
      <c r="GNQ127" s="5"/>
      <c r="GNR127" s="5"/>
      <c r="GNS127" s="5"/>
      <c r="GNT127" s="5"/>
      <c r="GNU127" s="5"/>
      <c r="GNV127" s="5"/>
      <c r="GNW127" s="5"/>
      <c r="GNX127" s="5"/>
      <c r="GNY127" s="5"/>
      <c r="GNZ127" s="5"/>
      <c r="GOA127" s="5"/>
      <c r="GOB127" s="5"/>
      <c r="GOC127" s="5"/>
      <c r="GOD127" s="5"/>
      <c r="GOE127" s="5"/>
      <c r="GOF127" s="5"/>
      <c r="GOG127" s="5"/>
      <c r="GOH127" s="5"/>
      <c r="GOI127" s="5"/>
      <c r="GOJ127" s="5"/>
      <c r="GOK127" s="5"/>
      <c r="GOL127" s="5"/>
      <c r="GOM127" s="5"/>
      <c r="GON127" s="5"/>
      <c r="GOO127" s="5"/>
      <c r="GOP127" s="5"/>
      <c r="GOQ127" s="5"/>
      <c r="GOR127" s="5"/>
      <c r="GOS127" s="5"/>
      <c r="GOT127" s="5"/>
      <c r="GOU127" s="5"/>
      <c r="GOV127" s="5"/>
      <c r="GOW127" s="5"/>
      <c r="GOX127" s="5"/>
      <c r="GOY127" s="5"/>
      <c r="GOZ127" s="5"/>
      <c r="GPA127" s="5"/>
      <c r="GPB127" s="5"/>
      <c r="GPC127" s="5"/>
      <c r="GPD127" s="5"/>
      <c r="GPE127" s="5"/>
      <c r="GPF127" s="5"/>
      <c r="GPG127" s="5"/>
      <c r="GPH127" s="5"/>
      <c r="GPI127" s="5"/>
      <c r="GPJ127" s="5"/>
      <c r="GPK127" s="5"/>
      <c r="GPL127" s="5"/>
      <c r="GPM127" s="5"/>
      <c r="GPN127" s="5"/>
      <c r="GPO127" s="5"/>
      <c r="GPP127" s="5"/>
      <c r="GPQ127" s="5"/>
      <c r="GPR127" s="5"/>
      <c r="GPS127" s="5"/>
      <c r="GPT127" s="5"/>
      <c r="GPU127" s="5"/>
      <c r="GPV127" s="5"/>
      <c r="GPW127" s="5"/>
      <c r="GPX127" s="5"/>
      <c r="GPY127" s="5"/>
      <c r="GPZ127" s="5"/>
      <c r="GQA127" s="5"/>
      <c r="GQB127" s="5"/>
      <c r="GQC127" s="5"/>
      <c r="GQD127" s="5"/>
      <c r="GQE127" s="5"/>
      <c r="GQF127" s="5"/>
      <c r="GQG127" s="5"/>
      <c r="GQH127" s="5"/>
      <c r="GQI127" s="5"/>
      <c r="GQJ127" s="5"/>
      <c r="GQK127" s="5"/>
      <c r="GQL127" s="5"/>
      <c r="GQM127" s="5"/>
      <c r="GQN127" s="5"/>
      <c r="GQO127" s="5"/>
      <c r="GQP127" s="5"/>
      <c r="GQQ127" s="5"/>
      <c r="GQR127" s="5"/>
      <c r="GQS127" s="5"/>
      <c r="GQT127" s="5"/>
      <c r="GQU127" s="5"/>
      <c r="GQV127" s="5"/>
      <c r="GQW127" s="5"/>
      <c r="GQX127" s="5"/>
      <c r="GQY127" s="5"/>
      <c r="GQZ127" s="5"/>
      <c r="GRA127" s="5"/>
      <c r="GRB127" s="5"/>
      <c r="GRC127" s="5"/>
      <c r="GRD127" s="5"/>
      <c r="GRE127" s="5"/>
      <c r="GRF127" s="5"/>
      <c r="GRG127" s="5"/>
      <c r="GRH127" s="5"/>
      <c r="GRI127" s="5"/>
      <c r="GRJ127" s="5"/>
      <c r="GRK127" s="5"/>
      <c r="GRL127" s="5"/>
      <c r="GRM127" s="5"/>
      <c r="GRN127" s="5"/>
      <c r="GRO127" s="5"/>
      <c r="GRP127" s="5"/>
      <c r="GRQ127" s="5"/>
      <c r="GRR127" s="5"/>
      <c r="GRS127" s="5"/>
      <c r="GRT127" s="5"/>
      <c r="GRU127" s="5"/>
      <c r="GRV127" s="5"/>
      <c r="GRW127" s="5"/>
      <c r="GRX127" s="5"/>
      <c r="GRY127" s="5"/>
      <c r="GRZ127" s="5"/>
      <c r="GSA127" s="5"/>
      <c r="GSB127" s="5"/>
      <c r="GSC127" s="5"/>
      <c r="GSD127" s="5"/>
      <c r="GSE127" s="5"/>
      <c r="GSF127" s="5"/>
      <c r="GSG127" s="5"/>
      <c r="GSH127" s="5"/>
      <c r="GSI127" s="5"/>
      <c r="GSJ127" s="5"/>
      <c r="GSK127" s="5"/>
      <c r="GSL127" s="5"/>
      <c r="GSM127" s="5"/>
      <c r="GSN127" s="5"/>
      <c r="GSO127" s="5"/>
      <c r="GSP127" s="5"/>
      <c r="GSQ127" s="5"/>
      <c r="GSR127" s="5"/>
      <c r="GSS127" s="5"/>
      <c r="GST127" s="5"/>
      <c r="GSU127" s="5"/>
      <c r="GSV127" s="5"/>
      <c r="GSW127" s="5"/>
      <c r="GSX127" s="5"/>
      <c r="GSY127" s="5"/>
      <c r="GSZ127" s="5"/>
      <c r="GTA127" s="5"/>
      <c r="GTB127" s="5"/>
      <c r="GTC127" s="5"/>
      <c r="GTD127" s="5"/>
      <c r="GTE127" s="5"/>
      <c r="GTF127" s="5"/>
      <c r="GTG127" s="5"/>
      <c r="GTH127" s="5"/>
      <c r="GTI127" s="5"/>
      <c r="GTJ127" s="5"/>
      <c r="GTK127" s="5"/>
      <c r="GTL127" s="5"/>
      <c r="GTM127" s="5"/>
      <c r="GTN127" s="5"/>
      <c r="GTO127" s="5"/>
      <c r="GTP127" s="5"/>
      <c r="GTQ127" s="5"/>
      <c r="GTR127" s="5"/>
      <c r="GTS127" s="5"/>
      <c r="GTT127" s="5"/>
      <c r="GTU127" s="5"/>
      <c r="GTV127" s="5"/>
      <c r="GTW127" s="5"/>
      <c r="GTX127" s="5"/>
      <c r="GTY127" s="5"/>
      <c r="GTZ127" s="5"/>
      <c r="GUA127" s="5"/>
      <c r="GUB127" s="5"/>
      <c r="GUC127" s="5"/>
      <c r="GUD127" s="5"/>
      <c r="GUE127" s="5"/>
      <c r="GUF127" s="5"/>
      <c r="GUG127" s="5"/>
      <c r="GUH127" s="5"/>
      <c r="GUI127" s="5"/>
      <c r="GUJ127" s="5"/>
      <c r="GUK127" s="5"/>
      <c r="GUL127" s="5"/>
      <c r="GUM127" s="5"/>
      <c r="GUN127" s="5"/>
      <c r="GUO127" s="5"/>
      <c r="GUP127" s="5"/>
      <c r="GUQ127" s="5"/>
      <c r="GUR127" s="5"/>
      <c r="GUS127" s="5"/>
      <c r="GUT127" s="5"/>
      <c r="GUU127" s="5"/>
      <c r="GUV127" s="5"/>
      <c r="GUW127" s="5"/>
      <c r="GUX127" s="5"/>
      <c r="GUY127" s="5"/>
      <c r="GUZ127" s="5"/>
      <c r="GVA127" s="5"/>
      <c r="GVB127" s="5"/>
      <c r="GVC127" s="5"/>
      <c r="GVD127" s="5"/>
      <c r="GVE127" s="5"/>
      <c r="GVF127" s="5"/>
      <c r="GVG127" s="5"/>
      <c r="GVH127" s="5"/>
      <c r="GVI127" s="5"/>
      <c r="GVJ127" s="5"/>
      <c r="GVK127" s="5"/>
      <c r="GVL127" s="5"/>
      <c r="GVM127" s="5"/>
      <c r="GVN127" s="5"/>
      <c r="GVO127" s="5"/>
      <c r="GVP127" s="5"/>
      <c r="GVQ127" s="5"/>
      <c r="GVR127" s="5"/>
      <c r="GVS127" s="5"/>
      <c r="GVT127" s="5"/>
      <c r="GVU127" s="5"/>
      <c r="GVV127" s="5"/>
      <c r="GVW127" s="5"/>
      <c r="GVX127" s="5"/>
      <c r="GVY127" s="5"/>
      <c r="GVZ127" s="5"/>
      <c r="GWA127" s="5"/>
      <c r="GWB127" s="5"/>
      <c r="GWC127" s="5"/>
      <c r="GWD127" s="5"/>
      <c r="GWE127" s="5"/>
      <c r="GWF127" s="5"/>
      <c r="GWG127" s="5"/>
      <c r="GWH127" s="5"/>
      <c r="GWI127" s="5"/>
      <c r="GWJ127" s="5"/>
      <c r="GWK127" s="5"/>
      <c r="GWL127" s="5"/>
      <c r="GWM127" s="5"/>
      <c r="GWN127" s="5"/>
      <c r="GWO127" s="5"/>
      <c r="GWP127" s="5"/>
      <c r="GWQ127" s="5"/>
      <c r="GWR127" s="5"/>
      <c r="GWS127" s="5"/>
      <c r="GWT127" s="5"/>
      <c r="GWU127" s="5"/>
      <c r="GWV127" s="5"/>
      <c r="GWW127" s="5"/>
      <c r="GWX127" s="5"/>
      <c r="GWY127" s="5"/>
      <c r="GWZ127" s="5"/>
      <c r="GXA127" s="5"/>
      <c r="GXB127" s="5"/>
      <c r="GXC127" s="5"/>
      <c r="GXD127" s="5"/>
      <c r="GXE127" s="5"/>
      <c r="GXF127" s="5"/>
      <c r="GXG127" s="5"/>
      <c r="GXH127" s="5"/>
      <c r="GXI127" s="5"/>
      <c r="GXJ127" s="5"/>
      <c r="GXK127" s="5"/>
      <c r="GXL127" s="5"/>
      <c r="GXM127" s="5"/>
      <c r="GXN127" s="5"/>
      <c r="GXO127" s="5"/>
      <c r="GXP127" s="5"/>
      <c r="GXQ127" s="5"/>
      <c r="GXR127" s="5"/>
      <c r="GXS127" s="5"/>
      <c r="GXT127" s="5"/>
      <c r="GXU127" s="5"/>
      <c r="GXV127" s="5"/>
      <c r="GXW127" s="5"/>
      <c r="GXX127" s="5"/>
      <c r="GXY127" s="5"/>
      <c r="GXZ127" s="5"/>
      <c r="GYA127" s="5"/>
      <c r="GYB127" s="5"/>
      <c r="GYC127" s="5"/>
      <c r="GYD127" s="5"/>
      <c r="GYE127" s="5"/>
      <c r="GYF127" s="5"/>
      <c r="GYG127" s="5"/>
      <c r="GYH127" s="5"/>
      <c r="GYI127" s="5"/>
      <c r="GYJ127" s="5"/>
      <c r="GYK127" s="5"/>
      <c r="GYL127" s="5"/>
      <c r="GYM127" s="5"/>
      <c r="GYN127" s="5"/>
      <c r="GYO127" s="5"/>
      <c r="GYP127" s="5"/>
      <c r="GYQ127" s="5"/>
      <c r="GYR127" s="5"/>
      <c r="GYS127" s="5"/>
      <c r="GYT127" s="5"/>
      <c r="GYU127" s="5"/>
      <c r="GYV127" s="5"/>
      <c r="GYW127" s="5"/>
      <c r="GYX127" s="5"/>
      <c r="GYY127" s="5"/>
      <c r="GYZ127" s="5"/>
      <c r="GZA127" s="5"/>
      <c r="GZB127" s="5"/>
      <c r="GZC127" s="5"/>
      <c r="GZD127" s="5"/>
      <c r="GZE127" s="5"/>
      <c r="GZF127" s="5"/>
      <c r="GZG127" s="5"/>
      <c r="GZH127" s="5"/>
      <c r="GZI127" s="5"/>
      <c r="GZJ127" s="5"/>
      <c r="GZK127" s="5"/>
      <c r="GZL127" s="5"/>
      <c r="GZM127" s="5"/>
      <c r="GZN127" s="5"/>
      <c r="GZO127" s="5"/>
      <c r="GZP127" s="5"/>
      <c r="GZQ127" s="5"/>
      <c r="GZR127" s="5"/>
      <c r="GZS127" s="5"/>
      <c r="GZT127" s="5"/>
      <c r="GZU127" s="5"/>
      <c r="GZV127" s="5"/>
      <c r="GZW127" s="5"/>
      <c r="GZX127" s="5"/>
      <c r="GZY127" s="5"/>
      <c r="GZZ127" s="5"/>
      <c r="HAA127" s="5"/>
      <c r="HAB127" s="5"/>
      <c r="HAC127" s="5"/>
      <c r="HAD127" s="5"/>
      <c r="HAE127" s="5"/>
      <c r="HAF127" s="5"/>
      <c r="HAG127" s="5"/>
      <c r="HAH127" s="5"/>
      <c r="HAI127" s="5"/>
      <c r="HAJ127" s="5"/>
      <c r="HAK127" s="5"/>
      <c r="HAL127" s="5"/>
      <c r="HAM127" s="5"/>
      <c r="HAN127" s="5"/>
      <c r="HAO127" s="5"/>
      <c r="HAP127" s="5"/>
      <c r="HAQ127" s="5"/>
      <c r="HAR127" s="5"/>
      <c r="HAS127" s="5"/>
      <c r="HAT127" s="5"/>
      <c r="HAU127" s="5"/>
      <c r="HAV127" s="5"/>
      <c r="HAW127" s="5"/>
      <c r="HAX127" s="5"/>
      <c r="HAY127" s="5"/>
      <c r="HAZ127" s="5"/>
      <c r="HBA127" s="5"/>
      <c r="HBB127" s="5"/>
      <c r="HBC127" s="5"/>
      <c r="HBD127" s="5"/>
      <c r="HBE127" s="5"/>
      <c r="HBF127" s="5"/>
      <c r="HBG127" s="5"/>
      <c r="HBH127" s="5"/>
      <c r="HBI127" s="5"/>
      <c r="HBJ127" s="5"/>
      <c r="HBK127" s="5"/>
      <c r="HBL127" s="5"/>
      <c r="HBM127" s="5"/>
      <c r="HBN127" s="5"/>
      <c r="HBO127" s="5"/>
      <c r="HBP127" s="5"/>
      <c r="HBQ127" s="5"/>
      <c r="HBR127" s="5"/>
      <c r="HBS127" s="5"/>
      <c r="HBT127" s="5"/>
      <c r="HBU127" s="5"/>
      <c r="HBV127" s="5"/>
      <c r="HBW127" s="5"/>
      <c r="HBX127" s="5"/>
      <c r="HBY127" s="5"/>
      <c r="HBZ127" s="5"/>
      <c r="HCA127" s="5"/>
      <c r="HCB127" s="5"/>
      <c r="HCC127" s="5"/>
      <c r="HCD127" s="5"/>
      <c r="HCE127" s="5"/>
      <c r="HCF127" s="5"/>
      <c r="HCG127" s="5"/>
      <c r="HCH127" s="5"/>
      <c r="HCI127" s="5"/>
      <c r="HCJ127" s="5"/>
      <c r="HCK127" s="5"/>
      <c r="HCL127" s="5"/>
      <c r="HCM127" s="5"/>
      <c r="HCN127" s="5"/>
      <c r="HCO127" s="5"/>
      <c r="HCP127" s="5"/>
      <c r="HCQ127" s="5"/>
      <c r="HCR127" s="5"/>
      <c r="HCS127" s="5"/>
      <c r="HCT127" s="5"/>
      <c r="HCU127" s="5"/>
      <c r="HCV127" s="5"/>
      <c r="HCW127" s="5"/>
      <c r="HCX127" s="5"/>
      <c r="HCY127" s="5"/>
      <c r="HCZ127" s="5"/>
      <c r="HDA127" s="5"/>
      <c r="HDB127" s="5"/>
      <c r="HDC127" s="5"/>
      <c r="HDD127" s="5"/>
      <c r="HDE127" s="5"/>
      <c r="HDF127" s="5"/>
      <c r="HDG127" s="5"/>
      <c r="HDH127" s="5"/>
      <c r="HDI127" s="5"/>
      <c r="HDJ127" s="5"/>
      <c r="HDK127" s="5"/>
      <c r="HDL127" s="5"/>
      <c r="HDM127" s="5"/>
      <c r="HDN127" s="5"/>
      <c r="HDO127" s="5"/>
      <c r="HDP127" s="5"/>
      <c r="HDQ127" s="5"/>
      <c r="HDR127" s="5"/>
      <c r="HDS127" s="5"/>
      <c r="HDT127" s="5"/>
      <c r="HDU127" s="5"/>
      <c r="HDV127" s="5"/>
      <c r="HDW127" s="5"/>
      <c r="HDX127" s="5"/>
      <c r="HDY127" s="5"/>
      <c r="HDZ127" s="5"/>
      <c r="HEA127" s="5"/>
      <c r="HEB127" s="5"/>
      <c r="HEC127" s="5"/>
      <c r="HED127" s="5"/>
      <c r="HEE127" s="5"/>
      <c r="HEF127" s="5"/>
      <c r="HEG127" s="5"/>
      <c r="HEH127" s="5"/>
      <c r="HEI127" s="5"/>
      <c r="HEJ127" s="5"/>
      <c r="HEK127" s="5"/>
      <c r="HEL127" s="5"/>
      <c r="HEM127" s="5"/>
      <c r="HEN127" s="5"/>
      <c r="HEO127" s="5"/>
      <c r="HEP127" s="5"/>
      <c r="HEQ127" s="5"/>
      <c r="HER127" s="5"/>
      <c r="HES127" s="5"/>
      <c r="HET127" s="5"/>
      <c r="HEU127" s="5"/>
      <c r="HEV127" s="5"/>
      <c r="HEW127" s="5"/>
      <c r="HEX127" s="5"/>
      <c r="HEY127" s="5"/>
      <c r="HEZ127" s="5"/>
      <c r="HFA127" s="5"/>
      <c r="HFB127" s="5"/>
      <c r="HFC127" s="5"/>
      <c r="HFD127" s="5"/>
      <c r="HFE127" s="5"/>
      <c r="HFF127" s="5"/>
      <c r="HFG127" s="5"/>
      <c r="HFH127" s="5"/>
      <c r="HFI127" s="5"/>
      <c r="HFJ127" s="5"/>
      <c r="HFK127" s="5"/>
      <c r="HFL127" s="5"/>
      <c r="HFM127" s="5"/>
      <c r="HFN127" s="5"/>
      <c r="HFO127" s="5"/>
      <c r="HFP127" s="5"/>
      <c r="HFQ127" s="5"/>
      <c r="HFR127" s="5"/>
      <c r="HFS127" s="5"/>
      <c r="HFT127" s="5"/>
      <c r="HFU127" s="5"/>
      <c r="HFV127" s="5"/>
      <c r="HFW127" s="5"/>
      <c r="HFX127" s="5"/>
      <c r="HFY127" s="5"/>
      <c r="HFZ127" s="5"/>
      <c r="HGA127" s="5"/>
      <c r="HGB127" s="5"/>
      <c r="HGC127" s="5"/>
      <c r="HGD127" s="5"/>
      <c r="HGE127" s="5"/>
      <c r="HGF127" s="5"/>
      <c r="HGG127" s="5"/>
      <c r="HGH127" s="5"/>
      <c r="HGI127" s="5"/>
      <c r="HGJ127" s="5"/>
      <c r="HGK127" s="5"/>
      <c r="HGL127" s="5"/>
      <c r="HGM127" s="5"/>
      <c r="HGN127" s="5"/>
      <c r="HGO127" s="5"/>
      <c r="HGP127" s="5"/>
      <c r="HGQ127" s="5"/>
      <c r="HGR127" s="5"/>
      <c r="HGS127" s="5"/>
      <c r="HGT127" s="5"/>
      <c r="HGU127" s="5"/>
      <c r="HGV127" s="5"/>
      <c r="HGW127" s="5"/>
      <c r="HGX127" s="5"/>
      <c r="HGY127" s="5"/>
      <c r="HGZ127" s="5"/>
      <c r="HHA127" s="5"/>
      <c r="HHB127" s="5"/>
      <c r="HHC127" s="5"/>
      <c r="HHD127" s="5"/>
      <c r="HHE127" s="5"/>
      <c r="HHF127" s="5"/>
      <c r="HHG127" s="5"/>
      <c r="HHH127" s="5"/>
      <c r="HHI127" s="5"/>
      <c r="HHJ127" s="5"/>
      <c r="HHK127" s="5"/>
      <c r="HHL127" s="5"/>
      <c r="HHM127" s="5"/>
      <c r="HHN127" s="5"/>
      <c r="HHO127" s="5"/>
      <c r="HHP127" s="5"/>
      <c r="HHQ127" s="5"/>
      <c r="HHR127" s="5"/>
      <c r="HHS127" s="5"/>
      <c r="HHT127" s="5"/>
      <c r="HHU127" s="5"/>
      <c r="HHV127" s="5"/>
      <c r="HHW127" s="5"/>
      <c r="HHX127" s="5"/>
      <c r="HHY127" s="5"/>
      <c r="HHZ127" s="5"/>
      <c r="HIA127" s="5"/>
      <c r="HIB127" s="5"/>
      <c r="HIC127" s="5"/>
      <c r="HID127" s="5"/>
      <c r="HIE127" s="5"/>
      <c r="HIF127" s="5"/>
      <c r="HIG127" s="5"/>
      <c r="HIH127" s="5"/>
      <c r="HII127" s="5"/>
      <c r="HIJ127" s="5"/>
      <c r="HIK127" s="5"/>
      <c r="HIL127" s="5"/>
      <c r="HIM127" s="5"/>
      <c r="HIN127" s="5"/>
      <c r="HIO127" s="5"/>
      <c r="HIP127" s="5"/>
      <c r="HIQ127" s="5"/>
      <c r="HIR127" s="5"/>
      <c r="HIS127" s="5"/>
      <c r="HIT127" s="5"/>
      <c r="HIU127" s="5"/>
      <c r="HIV127" s="5"/>
      <c r="HIW127" s="5"/>
      <c r="HIX127" s="5"/>
      <c r="HIY127" s="5"/>
      <c r="HIZ127" s="5"/>
      <c r="HJA127" s="5"/>
      <c r="HJB127" s="5"/>
      <c r="HJC127" s="5"/>
      <c r="HJD127" s="5"/>
      <c r="HJE127" s="5"/>
      <c r="HJF127" s="5"/>
      <c r="HJG127" s="5"/>
      <c r="HJH127" s="5"/>
      <c r="HJI127" s="5"/>
      <c r="HJJ127" s="5"/>
      <c r="HJK127" s="5"/>
      <c r="HJL127" s="5"/>
      <c r="HJM127" s="5"/>
      <c r="HJN127" s="5"/>
      <c r="HJO127" s="5"/>
      <c r="HJP127" s="5"/>
      <c r="HJQ127" s="5"/>
      <c r="HJR127" s="5"/>
      <c r="HJS127" s="5"/>
      <c r="HJT127" s="5"/>
      <c r="HJU127" s="5"/>
      <c r="HJV127" s="5"/>
      <c r="HJW127" s="5"/>
      <c r="HJX127" s="5"/>
      <c r="HJY127" s="5"/>
      <c r="HJZ127" s="5"/>
      <c r="HKA127" s="5"/>
      <c r="HKB127" s="5"/>
      <c r="HKC127" s="5"/>
      <c r="HKD127" s="5"/>
      <c r="HKE127" s="5"/>
      <c r="HKF127" s="5"/>
      <c r="HKG127" s="5"/>
      <c r="HKH127" s="5"/>
      <c r="HKI127" s="5"/>
      <c r="HKJ127" s="5"/>
      <c r="HKK127" s="5"/>
      <c r="HKL127" s="5"/>
      <c r="HKM127" s="5"/>
      <c r="HKN127" s="5"/>
      <c r="HKO127" s="5"/>
      <c r="HKP127" s="5"/>
      <c r="HKQ127" s="5"/>
      <c r="HKR127" s="5"/>
      <c r="HKS127" s="5"/>
      <c r="HKT127" s="5"/>
      <c r="HKU127" s="5"/>
      <c r="HKV127" s="5"/>
      <c r="HKW127" s="5"/>
      <c r="HKX127" s="5"/>
      <c r="HKY127" s="5"/>
      <c r="HKZ127" s="5"/>
      <c r="HLA127" s="5"/>
      <c r="HLB127" s="5"/>
      <c r="HLC127" s="5"/>
      <c r="HLD127" s="5"/>
      <c r="HLE127" s="5"/>
      <c r="HLF127" s="5"/>
      <c r="HLG127" s="5"/>
      <c r="HLH127" s="5"/>
      <c r="HLI127" s="5"/>
      <c r="HLJ127" s="5"/>
      <c r="HLK127" s="5"/>
      <c r="HLL127" s="5"/>
      <c r="HLM127" s="5"/>
      <c r="HLN127" s="5"/>
      <c r="HLO127" s="5"/>
      <c r="HLP127" s="5"/>
      <c r="HLQ127" s="5"/>
      <c r="HLR127" s="5"/>
      <c r="HLS127" s="5"/>
      <c r="HLT127" s="5"/>
      <c r="HLU127" s="5"/>
      <c r="HLV127" s="5"/>
      <c r="HLW127" s="5"/>
      <c r="HLX127" s="5"/>
      <c r="HLY127" s="5"/>
      <c r="HLZ127" s="5"/>
      <c r="HMA127" s="5"/>
      <c r="HMB127" s="5"/>
      <c r="HMC127" s="5"/>
      <c r="HMD127" s="5"/>
      <c r="HME127" s="5"/>
      <c r="HMF127" s="5"/>
      <c r="HMG127" s="5"/>
      <c r="HMH127" s="5"/>
      <c r="HMI127" s="5"/>
      <c r="HMJ127" s="5"/>
      <c r="HMK127" s="5"/>
      <c r="HML127" s="5"/>
      <c r="HMM127" s="5"/>
      <c r="HMN127" s="5"/>
      <c r="HMO127" s="5"/>
      <c r="HMP127" s="5"/>
      <c r="HMQ127" s="5"/>
      <c r="HMR127" s="5"/>
      <c r="HMS127" s="5"/>
      <c r="HMT127" s="5"/>
      <c r="HMU127" s="5"/>
      <c r="HMV127" s="5"/>
      <c r="HMW127" s="5"/>
      <c r="HMX127" s="5"/>
      <c r="HMY127" s="5"/>
      <c r="HMZ127" s="5"/>
      <c r="HNA127" s="5"/>
      <c r="HNB127" s="5"/>
      <c r="HNC127" s="5"/>
      <c r="HND127" s="5"/>
      <c r="HNE127" s="5"/>
      <c r="HNF127" s="5"/>
      <c r="HNG127" s="5"/>
      <c r="HNH127" s="5"/>
      <c r="HNI127" s="5"/>
      <c r="HNJ127" s="5"/>
      <c r="HNK127" s="5"/>
      <c r="HNL127" s="5"/>
      <c r="HNM127" s="5"/>
      <c r="HNN127" s="5"/>
      <c r="HNO127" s="5"/>
      <c r="HNP127" s="5"/>
      <c r="HNQ127" s="5"/>
      <c r="HNR127" s="5"/>
      <c r="HNS127" s="5"/>
      <c r="HNT127" s="5"/>
      <c r="HNU127" s="5"/>
      <c r="HNV127" s="5"/>
      <c r="HNW127" s="5"/>
      <c r="HNX127" s="5"/>
      <c r="HNY127" s="5"/>
      <c r="HNZ127" s="5"/>
      <c r="HOA127" s="5"/>
      <c r="HOB127" s="5"/>
      <c r="HOC127" s="5"/>
      <c r="HOD127" s="5"/>
      <c r="HOE127" s="5"/>
      <c r="HOF127" s="5"/>
      <c r="HOG127" s="5"/>
      <c r="HOH127" s="5"/>
      <c r="HOI127" s="5"/>
      <c r="HOJ127" s="5"/>
      <c r="HOK127" s="5"/>
      <c r="HOL127" s="5"/>
      <c r="HOM127" s="5"/>
      <c r="HON127" s="5"/>
      <c r="HOO127" s="5"/>
      <c r="HOP127" s="5"/>
      <c r="HOQ127" s="5"/>
      <c r="HOR127" s="5"/>
      <c r="HOS127" s="5"/>
      <c r="HOT127" s="5"/>
      <c r="HOU127" s="5"/>
      <c r="HOV127" s="5"/>
      <c r="HOW127" s="5"/>
      <c r="HOX127" s="5"/>
      <c r="HOY127" s="5"/>
      <c r="HOZ127" s="5"/>
      <c r="HPA127" s="5"/>
      <c r="HPB127" s="5"/>
      <c r="HPC127" s="5"/>
      <c r="HPD127" s="5"/>
      <c r="HPE127" s="5"/>
      <c r="HPF127" s="5"/>
      <c r="HPG127" s="5"/>
      <c r="HPH127" s="5"/>
      <c r="HPI127" s="5"/>
      <c r="HPJ127" s="5"/>
      <c r="HPK127" s="5"/>
      <c r="HPL127" s="5"/>
      <c r="HPM127" s="5"/>
      <c r="HPN127" s="5"/>
      <c r="HPO127" s="5"/>
      <c r="HPP127" s="5"/>
      <c r="HPQ127" s="5"/>
      <c r="HPR127" s="5"/>
      <c r="HPS127" s="5"/>
      <c r="HPT127" s="5"/>
      <c r="HPU127" s="5"/>
      <c r="HPV127" s="5"/>
      <c r="HPW127" s="5"/>
      <c r="HPX127" s="5"/>
      <c r="HPY127" s="5"/>
      <c r="HPZ127" s="5"/>
      <c r="HQA127" s="5"/>
      <c r="HQB127" s="5"/>
      <c r="HQC127" s="5"/>
      <c r="HQD127" s="5"/>
      <c r="HQE127" s="5"/>
      <c r="HQF127" s="5"/>
      <c r="HQG127" s="5"/>
      <c r="HQH127" s="5"/>
      <c r="HQI127" s="5"/>
      <c r="HQJ127" s="5"/>
      <c r="HQK127" s="5"/>
      <c r="HQL127" s="5"/>
      <c r="HQM127" s="5"/>
      <c r="HQN127" s="5"/>
      <c r="HQO127" s="5"/>
      <c r="HQP127" s="5"/>
      <c r="HQQ127" s="5"/>
      <c r="HQR127" s="5"/>
      <c r="HQS127" s="5"/>
      <c r="HQT127" s="5"/>
      <c r="HQU127" s="5"/>
      <c r="HQV127" s="5"/>
      <c r="HQW127" s="5"/>
      <c r="HQX127" s="5"/>
      <c r="HQY127" s="5"/>
      <c r="HQZ127" s="5"/>
      <c r="HRA127" s="5"/>
      <c r="HRB127" s="5"/>
      <c r="HRC127" s="5"/>
      <c r="HRD127" s="5"/>
      <c r="HRE127" s="5"/>
      <c r="HRF127" s="5"/>
      <c r="HRG127" s="5"/>
      <c r="HRH127" s="5"/>
      <c r="HRI127" s="5"/>
      <c r="HRJ127" s="5"/>
      <c r="HRK127" s="5"/>
      <c r="HRL127" s="5"/>
      <c r="HRM127" s="5"/>
      <c r="HRN127" s="5"/>
      <c r="HRO127" s="5"/>
      <c r="HRP127" s="5"/>
      <c r="HRQ127" s="5"/>
      <c r="HRR127" s="5"/>
      <c r="HRS127" s="5"/>
      <c r="HRT127" s="5"/>
      <c r="HRU127" s="5"/>
      <c r="HRV127" s="5"/>
      <c r="HRW127" s="5"/>
      <c r="HRX127" s="5"/>
      <c r="HRY127" s="5"/>
      <c r="HRZ127" s="5"/>
      <c r="HSA127" s="5"/>
      <c r="HSB127" s="5"/>
      <c r="HSC127" s="5"/>
      <c r="HSD127" s="5"/>
      <c r="HSE127" s="5"/>
      <c r="HSF127" s="5"/>
      <c r="HSG127" s="5"/>
      <c r="HSH127" s="5"/>
      <c r="HSI127" s="5"/>
      <c r="HSJ127" s="5"/>
      <c r="HSK127" s="5"/>
      <c r="HSL127" s="5"/>
      <c r="HSM127" s="5"/>
      <c r="HSN127" s="5"/>
      <c r="HSO127" s="5"/>
      <c r="HSP127" s="5"/>
      <c r="HSQ127" s="5"/>
      <c r="HSR127" s="5"/>
      <c r="HSS127" s="5"/>
      <c r="HST127" s="5"/>
      <c r="HSU127" s="5"/>
      <c r="HSV127" s="5"/>
      <c r="HSW127" s="5"/>
      <c r="HSX127" s="5"/>
      <c r="HSY127" s="5"/>
      <c r="HSZ127" s="5"/>
      <c r="HTA127" s="5"/>
      <c r="HTB127" s="5"/>
      <c r="HTC127" s="5"/>
      <c r="HTD127" s="5"/>
      <c r="HTE127" s="5"/>
      <c r="HTF127" s="5"/>
      <c r="HTG127" s="5"/>
      <c r="HTH127" s="5"/>
      <c r="HTI127" s="5"/>
      <c r="HTJ127" s="5"/>
      <c r="HTK127" s="5"/>
      <c r="HTL127" s="5"/>
      <c r="HTM127" s="5"/>
      <c r="HTN127" s="5"/>
      <c r="HTO127" s="5"/>
      <c r="HTP127" s="5"/>
      <c r="HTQ127" s="5"/>
      <c r="HTR127" s="5"/>
      <c r="HTS127" s="5"/>
      <c r="HTT127" s="5"/>
      <c r="HTU127" s="5"/>
      <c r="HTV127" s="5"/>
      <c r="HTW127" s="5"/>
      <c r="HTX127" s="5"/>
      <c r="HTY127" s="5"/>
      <c r="HTZ127" s="5"/>
      <c r="HUA127" s="5"/>
      <c r="HUB127" s="5"/>
      <c r="HUC127" s="5"/>
      <c r="HUD127" s="5"/>
      <c r="HUE127" s="5"/>
      <c r="HUF127" s="5"/>
      <c r="HUG127" s="5"/>
      <c r="HUH127" s="5"/>
      <c r="HUI127" s="5"/>
      <c r="HUJ127" s="5"/>
      <c r="HUK127" s="5"/>
      <c r="HUL127" s="5"/>
      <c r="HUM127" s="5"/>
      <c r="HUN127" s="5"/>
      <c r="HUO127" s="5"/>
      <c r="HUP127" s="5"/>
      <c r="HUQ127" s="5"/>
      <c r="HUR127" s="5"/>
      <c r="HUS127" s="5"/>
      <c r="HUT127" s="5"/>
      <c r="HUU127" s="5"/>
      <c r="HUV127" s="5"/>
      <c r="HUW127" s="5"/>
      <c r="HUX127" s="5"/>
      <c r="HUY127" s="5"/>
      <c r="HUZ127" s="5"/>
      <c r="HVA127" s="5"/>
      <c r="HVB127" s="5"/>
      <c r="HVC127" s="5"/>
      <c r="HVD127" s="5"/>
      <c r="HVE127" s="5"/>
      <c r="HVF127" s="5"/>
      <c r="HVG127" s="5"/>
      <c r="HVH127" s="5"/>
      <c r="HVI127" s="5"/>
      <c r="HVJ127" s="5"/>
      <c r="HVK127" s="5"/>
      <c r="HVL127" s="5"/>
      <c r="HVM127" s="5"/>
      <c r="HVN127" s="5"/>
      <c r="HVO127" s="5"/>
      <c r="HVP127" s="5"/>
      <c r="HVQ127" s="5"/>
      <c r="HVR127" s="5"/>
      <c r="HVS127" s="5"/>
      <c r="HVT127" s="5"/>
      <c r="HVU127" s="5"/>
      <c r="HVV127" s="5"/>
      <c r="HVW127" s="5"/>
      <c r="HVX127" s="5"/>
      <c r="HVY127" s="5"/>
      <c r="HVZ127" s="5"/>
      <c r="HWA127" s="5"/>
      <c r="HWB127" s="5"/>
      <c r="HWC127" s="5"/>
      <c r="HWD127" s="5"/>
      <c r="HWE127" s="5"/>
      <c r="HWF127" s="5"/>
      <c r="HWG127" s="5"/>
      <c r="HWH127" s="5"/>
      <c r="HWI127" s="5"/>
      <c r="HWJ127" s="5"/>
      <c r="HWK127" s="5"/>
      <c r="HWL127" s="5"/>
      <c r="HWM127" s="5"/>
      <c r="HWN127" s="5"/>
      <c r="HWO127" s="5"/>
      <c r="HWP127" s="5"/>
      <c r="HWQ127" s="5"/>
      <c r="HWR127" s="5"/>
      <c r="HWS127" s="5"/>
      <c r="HWT127" s="5"/>
      <c r="HWU127" s="5"/>
      <c r="HWV127" s="5"/>
      <c r="HWW127" s="5"/>
      <c r="HWX127" s="5"/>
      <c r="HWY127" s="5"/>
      <c r="HWZ127" s="5"/>
      <c r="HXA127" s="5"/>
      <c r="HXB127" s="5"/>
      <c r="HXC127" s="5"/>
      <c r="HXD127" s="5"/>
      <c r="HXE127" s="5"/>
      <c r="HXF127" s="5"/>
      <c r="HXG127" s="5"/>
      <c r="HXH127" s="5"/>
      <c r="HXI127" s="5"/>
      <c r="HXJ127" s="5"/>
      <c r="HXK127" s="5"/>
      <c r="HXL127" s="5"/>
      <c r="HXM127" s="5"/>
      <c r="HXN127" s="5"/>
      <c r="HXO127" s="5"/>
      <c r="HXP127" s="5"/>
      <c r="HXQ127" s="5"/>
      <c r="HXR127" s="5"/>
      <c r="HXS127" s="5"/>
      <c r="HXT127" s="5"/>
      <c r="HXU127" s="5"/>
      <c r="HXV127" s="5"/>
      <c r="HXW127" s="5"/>
      <c r="HXX127" s="5"/>
      <c r="HXY127" s="5"/>
      <c r="HXZ127" s="5"/>
      <c r="HYA127" s="5"/>
      <c r="HYB127" s="5"/>
      <c r="HYC127" s="5"/>
      <c r="HYD127" s="5"/>
      <c r="HYE127" s="5"/>
      <c r="HYF127" s="5"/>
      <c r="HYG127" s="5"/>
      <c r="HYH127" s="5"/>
      <c r="HYI127" s="5"/>
      <c r="HYJ127" s="5"/>
      <c r="HYK127" s="5"/>
      <c r="HYL127" s="5"/>
      <c r="HYM127" s="5"/>
      <c r="HYN127" s="5"/>
      <c r="HYO127" s="5"/>
      <c r="HYP127" s="5"/>
      <c r="HYQ127" s="5"/>
      <c r="HYR127" s="5"/>
      <c r="HYS127" s="5"/>
      <c r="HYT127" s="5"/>
      <c r="HYU127" s="5"/>
      <c r="HYV127" s="5"/>
      <c r="HYW127" s="5"/>
      <c r="HYX127" s="5"/>
      <c r="HYY127" s="5"/>
      <c r="HYZ127" s="5"/>
      <c r="HZA127" s="5"/>
      <c r="HZB127" s="5"/>
      <c r="HZC127" s="5"/>
      <c r="HZD127" s="5"/>
      <c r="HZE127" s="5"/>
      <c r="HZF127" s="5"/>
      <c r="HZG127" s="5"/>
      <c r="HZH127" s="5"/>
      <c r="HZI127" s="5"/>
      <c r="HZJ127" s="5"/>
      <c r="HZK127" s="5"/>
      <c r="HZL127" s="5"/>
      <c r="HZM127" s="5"/>
      <c r="HZN127" s="5"/>
      <c r="HZO127" s="5"/>
      <c r="HZP127" s="5"/>
      <c r="HZQ127" s="5"/>
      <c r="HZR127" s="5"/>
      <c r="HZS127" s="5"/>
      <c r="HZT127" s="5"/>
      <c r="HZU127" s="5"/>
      <c r="HZV127" s="5"/>
      <c r="HZW127" s="5"/>
      <c r="HZX127" s="5"/>
      <c r="HZY127" s="5"/>
      <c r="HZZ127" s="5"/>
      <c r="IAA127" s="5"/>
      <c r="IAB127" s="5"/>
      <c r="IAC127" s="5"/>
      <c r="IAD127" s="5"/>
      <c r="IAE127" s="5"/>
      <c r="IAF127" s="5"/>
      <c r="IAG127" s="5"/>
      <c r="IAH127" s="5"/>
      <c r="IAI127" s="5"/>
      <c r="IAJ127" s="5"/>
      <c r="IAK127" s="5"/>
      <c r="IAL127" s="5"/>
      <c r="IAM127" s="5"/>
      <c r="IAN127" s="5"/>
      <c r="IAO127" s="5"/>
      <c r="IAP127" s="5"/>
      <c r="IAQ127" s="5"/>
      <c r="IAR127" s="5"/>
      <c r="IAS127" s="5"/>
      <c r="IAT127" s="5"/>
      <c r="IAU127" s="5"/>
      <c r="IAV127" s="5"/>
      <c r="IAW127" s="5"/>
      <c r="IAX127" s="5"/>
      <c r="IAY127" s="5"/>
      <c r="IAZ127" s="5"/>
      <c r="IBA127" s="5"/>
      <c r="IBB127" s="5"/>
      <c r="IBC127" s="5"/>
      <c r="IBD127" s="5"/>
      <c r="IBE127" s="5"/>
      <c r="IBF127" s="5"/>
      <c r="IBG127" s="5"/>
      <c r="IBH127" s="5"/>
      <c r="IBI127" s="5"/>
      <c r="IBJ127" s="5"/>
      <c r="IBK127" s="5"/>
      <c r="IBL127" s="5"/>
      <c r="IBM127" s="5"/>
      <c r="IBN127" s="5"/>
      <c r="IBO127" s="5"/>
      <c r="IBP127" s="5"/>
      <c r="IBQ127" s="5"/>
      <c r="IBR127" s="5"/>
      <c r="IBS127" s="5"/>
      <c r="IBT127" s="5"/>
      <c r="IBU127" s="5"/>
      <c r="IBV127" s="5"/>
      <c r="IBW127" s="5"/>
      <c r="IBX127" s="5"/>
      <c r="IBY127" s="5"/>
      <c r="IBZ127" s="5"/>
      <c r="ICA127" s="5"/>
      <c r="ICB127" s="5"/>
      <c r="ICC127" s="5"/>
      <c r="ICD127" s="5"/>
      <c r="ICE127" s="5"/>
      <c r="ICF127" s="5"/>
      <c r="ICG127" s="5"/>
      <c r="ICH127" s="5"/>
      <c r="ICI127" s="5"/>
      <c r="ICJ127" s="5"/>
      <c r="ICK127" s="5"/>
      <c r="ICL127" s="5"/>
      <c r="ICM127" s="5"/>
      <c r="ICN127" s="5"/>
      <c r="ICO127" s="5"/>
      <c r="ICP127" s="5"/>
      <c r="ICQ127" s="5"/>
      <c r="ICR127" s="5"/>
      <c r="ICS127" s="5"/>
      <c r="ICT127" s="5"/>
      <c r="ICU127" s="5"/>
      <c r="ICV127" s="5"/>
      <c r="ICW127" s="5"/>
      <c r="ICX127" s="5"/>
      <c r="ICY127" s="5"/>
      <c r="ICZ127" s="5"/>
      <c r="IDA127" s="5"/>
      <c r="IDB127" s="5"/>
      <c r="IDC127" s="5"/>
      <c r="IDD127" s="5"/>
      <c r="IDE127" s="5"/>
      <c r="IDF127" s="5"/>
      <c r="IDG127" s="5"/>
      <c r="IDH127" s="5"/>
      <c r="IDI127" s="5"/>
      <c r="IDJ127" s="5"/>
      <c r="IDK127" s="5"/>
      <c r="IDL127" s="5"/>
      <c r="IDM127" s="5"/>
      <c r="IDN127" s="5"/>
      <c r="IDO127" s="5"/>
      <c r="IDP127" s="5"/>
      <c r="IDQ127" s="5"/>
      <c r="IDR127" s="5"/>
      <c r="IDS127" s="5"/>
      <c r="IDT127" s="5"/>
      <c r="IDU127" s="5"/>
      <c r="IDV127" s="5"/>
      <c r="IDW127" s="5"/>
      <c r="IDX127" s="5"/>
      <c r="IDY127" s="5"/>
      <c r="IDZ127" s="5"/>
      <c r="IEA127" s="5"/>
      <c r="IEB127" s="5"/>
      <c r="IEC127" s="5"/>
      <c r="IED127" s="5"/>
      <c r="IEE127" s="5"/>
      <c r="IEF127" s="5"/>
      <c r="IEG127" s="5"/>
      <c r="IEH127" s="5"/>
      <c r="IEI127" s="5"/>
      <c r="IEJ127" s="5"/>
      <c r="IEK127" s="5"/>
      <c r="IEL127" s="5"/>
      <c r="IEM127" s="5"/>
      <c r="IEN127" s="5"/>
      <c r="IEO127" s="5"/>
      <c r="IEP127" s="5"/>
      <c r="IEQ127" s="5"/>
      <c r="IER127" s="5"/>
      <c r="IES127" s="5"/>
      <c r="IET127" s="5"/>
      <c r="IEU127" s="5"/>
      <c r="IEV127" s="5"/>
      <c r="IEW127" s="5"/>
      <c r="IEX127" s="5"/>
      <c r="IEY127" s="5"/>
      <c r="IEZ127" s="5"/>
      <c r="IFA127" s="5"/>
      <c r="IFB127" s="5"/>
      <c r="IFC127" s="5"/>
      <c r="IFD127" s="5"/>
      <c r="IFE127" s="5"/>
      <c r="IFF127" s="5"/>
      <c r="IFG127" s="5"/>
      <c r="IFH127" s="5"/>
      <c r="IFI127" s="5"/>
      <c r="IFJ127" s="5"/>
      <c r="IFK127" s="5"/>
      <c r="IFL127" s="5"/>
      <c r="IFM127" s="5"/>
      <c r="IFN127" s="5"/>
      <c r="IFO127" s="5"/>
      <c r="IFP127" s="5"/>
      <c r="IFQ127" s="5"/>
      <c r="IFR127" s="5"/>
      <c r="IFS127" s="5"/>
      <c r="IFT127" s="5"/>
      <c r="IFU127" s="5"/>
      <c r="IFV127" s="5"/>
      <c r="IFW127" s="5"/>
      <c r="IFX127" s="5"/>
      <c r="IFY127" s="5"/>
      <c r="IFZ127" s="5"/>
      <c r="IGA127" s="5"/>
      <c r="IGB127" s="5"/>
      <c r="IGC127" s="5"/>
      <c r="IGD127" s="5"/>
      <c r="IGE127" s="5"/>
      <c r="IGF127" s="5"/>
      <c r="IGG127" s="5"/>
      <c r="IGH127" s="5"/>
      <c r="IGI127" s="5"/>
      <c r="IGJ127" s="5"/>
      <c r="IGK127" s="5"/>
      <c r="IGL127" s="5"/>
      <c r="IGM127" s="5"/>
      <c r="IGN127" s="5"/>
      <c r="IGO127" s="5"/>
      <c r="IGP127" s="5"/>
      <c r="IGQ127" s="5"/>
      <c r="IGR127" s="5"/>
      <c r="IGS127" s="5"/>
      <c r="IGT127" s="5"/>
      <c r="IGU127" s="5"/>
      <c r="IGV127" s="5"/>
      <c r="IGW127" s="5"/>
      <c r="IGX127" s="5"/>
      <c r="IGY127" s="5"/>
      <c r="IGZ127" s="5"/>
      <c r="IHA127" s="5"/>
      <c r="IHB127" s="5"/>
      <c r="IHC127" s="5"/>
      <c r="IHD127" s="5"/>
      <c r="IHE127" s="5"/>
      <c r="IHF127" s="5"/>
      <c r="IHG127" s="5"/>
      <c r="IHH127" s="5"/>
      <c r="IHI127" s="5"/>
      <c r="IHJ127" s="5"/>
      <c r="IHK127" s="5"/>
      <c r="IHL127" s="5"/>
      <c r="IHM127" s="5"/>
      <c r="IHN127" s="5"/>
      <c r="IHO127" s="5"/>
      <c r="IHP127" s="5"/>
      <c r="IHQ127" s="5"/>
      <c r="IHR127" s="5"/>
      <c r="IHS127" s="5"/>
      <c r="IHT127" s="5"/>
      <c r="IHU127" s="5"/>
      <c r="IHV127" s="5"/>
      <c r="IHW127" s="5"/>
      <c r="IHX127" s="5"/>
      <c r="IHY127" s="5"/>
      <c r="IHZ127" s="5"/>
      <c r="IIA127" s="5"/>
      <c r="IIB127" s="5"/>
      <c r="IIC127" s="5"/>
      <c r="IID127" s="5"/>
      <c r="IIE127" s="5"/>
      <c r="IIF127" s="5"/>
      <c r="IIG127" s="5"/>
      <c r="IIH127" s="5"/>
      <c r="III127" s="5"/>
      <c r="IIJ127" s="5"/>
      <c r="IIK127" s="5"/>
      <c r="IIL127" s="5"/>
      <c r="IIM127" s="5"/>
      <c r="IIN127" s="5"/>
      <c r="IIO127" s="5"/>
      <c r="IIP127" s="5"/>
      <c r="IIQ127" s="5"/>
      <c r="IIR127" s="5"/>
      <c r="IIS127" s="5"/>
      <c r="IIT127" s="5"/>
      <c r="IIU127" s="5"/>
      <c r="IIV127" s="5"/>
      <c r="IIW127" s="5"/>
      <c r="IIX127" s="5"/>
      <c r="IIY127" s="5"/>
      <c r="IIZ127" s="5"/>
      <c r="IJA127" s="5"/>
      <c r="IJB127" s="5"/>
      <c r="IJC127" s="5"/>
      <c r="IJD127" s="5"/>
      <c r="IJE127" s="5"/>
      <c r="IJF127" s="5"/>
      <c r="IJG127" s="5"/>
      <c r="IJH127" s="5"/>
      <c r="IJI127" s="5"/>
      <c r="IJJ127" s="5"/>
      <c r="IJK127" s="5"/>
      <c r="IJL127" s="5"/>
      <c r="IJM127" s="5"/>
      <c r="IJN127" s="5"/>
      <c r="IJO127" s="5"/>
      <c r="IJP127" s="5"/>
      <c r="IJQ127" s="5"/>
      <c r="IJR127" s="5"/>
      <c r="IJS127" s="5"/>
      <c r="IJT127" s="5"/>
      <c r="IJU127" s="5"/>
      <c r="IJV127" s="5"/>
      <c r="IJW127" s="5"/>
      <c r="IJX127" s="5"/>
      <c r="IJY127" s="5"/>
      <c r="IJZ127" s="5"/>
      <c r="IKA127" s="5"/>
      <c r="IKB127" s="5"/>
      <c r="IKC127" s="5"/>
      <c r="IKD127" s="5"/>
      <c r="IKE127" s="5"/>
      <c r="IKF127" s="5"/>
      <c r="IKG127" s="5"/>
      <c r="IKH127" s="5"/>
      <c r="IKI127" s="5"/>
      <c r="IKJ127" s="5"/>
      <c r="IKK127" s="5"/>
      <c r="IKL127" s="5"/>
      <c r="IKM127" s="5"/>
      <c r="IKN127" s="5"/>
      <c r="IKO127" s="5"/>
      <c r="IKP127" s="5"/>
      <c r="IKQ127" s="5"/>
      <c r="IKR127" s="5"/>
      <c r="IKS127" s="5"/>
      <c r="IKT127" s="5"/>
      <c r="IKU127" s="5"/>
      <c r="IKV127" s="5"/>
      <c r="IKW127" s="5"/>
      <c r="IKX127" s="5"/>
      <c r="IKY127" s="5"/>
      <c r="IKZ127" s="5"/>
      <c r="ILA127" s="5"/>
      <c r="ILB127" s="5"/>
      <c r="ILC127" s="5"/>
      <c r="ILD127" s="5"/>
      <c r="ILE127" s="5"/>
      <c r="ILF127" s="5"/>
      <c r="ILG127" s="5"/>
      <c r="ILH127" s="5"/>
      <c r="ILI127" s="5"/>
      <c r="ILJ127" s="5"/>
      <c r="ILK127" s="5"/>
      <c r="ILL127" s="5"/>
      <c r="ILM127" s="5"/>
      <c r="ILN127" s="5"/>
      <c r="ILO127" s="5"/>
      <c r="ILP127" s="5"/>
      <c r="ILQ127" s="5"/>
      <c r="ILR127" s="5"/>
      <c r="ILS127" s="5"/>
      <c r="ILT127" s="5"/>
      <c r="ILU127" s="5"/>
      <c r="ILV127" s="5"/>
      <c r="ILW127" s="5"/>
      <c r="ILX127" s="5"/>
      <c r="ILY127" s="5"/>
      <c r="ILZ127" s="5"/>
      <c r="IMA127" s="5"/>
      <c r="IMB127" s="5"/>
      <c r="IMC127" s="5"/>
      <c r="IMD127" s="5"/>
      <c r="IME127" s="5"/>
      <c r="IMF127" s="5"/>
      <c r="IMG127" s="5"/>
      <c r="IMH127" s="5"/>
      <c r="IMI127" s="5"/>
      <c r="IMJ127" s="5"/>
      <c r="IMK127" s="5"/>
      <c r="IML127" s="5"/>
      <c r="IMM127" s="5"/>
      <c r="IMN127" s="5"/>
      <c r="IMO127" s="5"/>
      <c r="IMP127" s="5"/>
      <c r="IMQ127" s="5"/>
      <c r="IMR127" s="5"/>
      <c r="IMS127" s="5"/>
      <c r="IMT127" s="5"/>
      <c r="IMU127" s="5"/>
      <c r="IMV127" s="5"/>
      <c r="IMW127" s="5"/>
      <c r="IMX127" s="5"/>
      <c r="IMY127" s="5"/>
      <c r="IMZ127" s="5"/>
      <c r="INA127" s="5"/>
      <c r="INB127" s="5"/>
      <c r="INC127" s="5"/>
      <c r="IND127" s="5"/>
      <c r="INE127" s="5"/>
      <c r="INF127" s="5"/>
      <c r="ING127" s="5"/>
      <c r="INH127" s="5"/>
      <c r="INI127" s="5"/>
      <c r="INJ127" s="5"/>
      <c r="INK127" s="5"/>
      <c r="INL127" s="5"/>
      <c r="INM127" s="5"/>
      <c r="INN127" s="5"/>
      <c r="INO127" s="5"/>
      <c r="INP127" s="5"/>
      <c r="INQ127" s="5"/>
      <c r="INR127" s="5"/>
      <c r="INS127" s="5"/>
      <c r="INT127" s="5"/>
      <c r="INU127" s="5"/>
      <c r="INV127" s="5"/>
      <c r="INW127" s="5"/>
      <c r="INX127" s="5"/>
      <c r="INY127" s="5"/>
      <c r="INZ127" s="5"/>
      <c r="IOA127" s="5"/>
      <c r="IOB127" s="5"/>
      <c r="IOC127" s="5"/>
      <c r="IOD127" s="5"/>
      <c r="IOE127" s="5"/>
      <c r="IOF127" s="5"/>
      <c r="IOG127" s="5"/>
      <c r="IOH127" s="5"/>
      <c r="IOI127" s="5"/>
      <c r="IOJ127" s="5"/>
      <c r="IOK127" s="5"/>
      <c r="IOL127" s="5"/>
      <c r="IOM127" s="5"/>
      <c r="ION127" s="5"/>
      <c r="IOO127" s="5"/>
      <c r="IOP127" s="5"/>
      <c r="IOQ127" s="5"/>
      <c r="IOR127" s="5"/>
      <c r="IOS127" s="5"/>
      <c r="IOT127" s="5"/>
      <c r="IOU127" s="5"/>
      <c r="IOV127" s="5"/>
      <c r="IOW127" s="5"/>
      <c r="IOX127" s="5"/>
      <c r="IOY127" s="5"/>
      <c r="IOZ127" s="5"/>
      <c r="IPA127" s="5"/>
      <c r="IPB127" s="5"/>
      <c r="IPC127" s="5"/>
      <c r="IPD127" s="5"/>
      <c r="IPE127" s="5"/>
      <c r="IPF127" s="5"/>
      <c r="IPG127" s="5"/>
      <c r="IPH127" s="5"/>
      <c r="IPI127" s="5"/>
      <c r="IPJ127" s="5"/>
      <c r="IPK127" s="5"/>
      <c r="IPL127" s="5"/>
      <c r="IPM127" s="5"/>
      <c r="IPN127" s="5"/>
      <c r="IPO127" s="5"/>
      <c r="IPP127" s="5"/>
      <c r="IPQ127" s="5"/>
      <c r="IPR127" s="5"/>
      <c r="IPS127" s="5"/>
      <c r="IPT127" s="5"/>
      <c r="IPU127" s="5"/>
      <c r="IPV127" s="5"/>
      <c r="IPW127" s="5"/>
      <c r="IPX127" s="5"/>
      <c r="IPY127" s="5"/>
      <c r="IPZ127" s="5"/>
      <c r="IQA127" s="5"/>
      <c r="IQB127" s="5"/>
      <c r="IQC127" s="5"/>
      <c r="IQD127" s="5"/>
      <c r="IQE127" s="5"/>
      <c r="IQF127" s="5"/>
      <c r="IQG127" s="5"/>
      <c r="IQH127" s="5"/>
      <c r="IQI127" s="5"/>
      <c r="IQJ127" s="5"/>
      <c r="IQK127" s="5"/>
      <c r="IQL127" s="5"/>
      <c r="IQM127" s="5"/>
      <c r="IQN127" s="5"/>
      <c r="IQO127" s="5"/>
      <c r="IQP127" s="5"/>
      <c r="IQQ127" s="5"/>
      <c r="IQR127" s="5"/>
      <c r="IQS127" s="5"/>
      <c r="IQT127" s="5"/>
      <c r="IQU127" s="5"/>
      <c r="IQV127" s="5"/>
      <c r="IQW127" s="5"/>
      <c r="IQX127" s="5"/>
      <c r="IQY127" s="5"/>
      <c r="IQZ127" s="5"/>
      <c r="IRA127" s="5"/>
      <c r="IRB127" s="5"/>
      <c r="IRC127" s="5"/>
      <c r="IRD127" s="5"/>
      <c r="IRE127" s="5"/>
      <c r="IRF127" s="5"/>
      <c r="IRG127" s="5"/>
      <c r="IRH127" s="5"/>
      <c r="IRI127" s="5"/>
      <c r="IRJ127" s="5"/>
      <c r="IRK127" s="5"/>
      <c r="IRL127" s="5"/>
      <c r="IRM127" s="5"/>
      <c r="IRN127" s="5"/>
      <c r="IRO127" s="5"/>
      <c r="IRP127" s="5"/>
      <c r="IRQ127" s="5"/>
      <c r="IRR127" s="5"/>
      <c r="IRS127" s="5"/>
      <c r="IRT127" s="5"/>
      <c r="IRU127" s="5"/>
      <c r="IRV127" s="5"/>
      <c r="IRW127" s="5"/>
      <c r="IRX127" s="5"/>
      <c r="IRY127" s="5"/>
      <c r="IRZ127" s="5"/>
      <c r="ISA127" s="5"/>
      <c r="ISB127" s="5"/>
      <c r="ISC127" s="5"/>
      <c r="ISD127" s="5"/>
      <c r="ISE127" s="5"/>
      <c r="ISF127" s="5"/>
      <c r="ISG127" s="5"/>
      <c r="ISH127" s="5"/>
      <c r="ISI127" s="5"/>
      <c r="ISJ127" s="5"/>
      <c r="ISK127" s="5"/>
      <c r="ISL127" s="5"/>
      <c r="ISM127" s="5"/>
      <c r="ISN127" s="5"/>
      <c r="ISO127" s="5"/>
      <c r="ISP127" s="5"/>
      <c r="ISQ127" s="5"/>
      <c r="ISR127" s="5"/>
      <c r="ISS127" s="5"/>
      <c r="IST127" s="5"/>
      <c r="ISU127" s="5"/>
      <c r="ISV127" s="5"/>
      <c r="ISW127" s="5"/>
      <c r="ISX127" s="5"/>
      <c r="ISY127" s="5"/>
      <c r="ISZ127" s="5"/>
      <c r="ITA127" s="5"/>
      <c r="ITB127" s="5"/>
      <c r="ITC127" s="5"/>
      <c r="ITD127" s="5"/>
      <c r="ITE127" s="5"/>
      <c r="ITF127" s="5"/>
      <c r="ITG127" s="5"/>
      <c r="ITH127" s="5"/>
      <c r="ITI127" s="5"/>
      <c r="ITJ127" s="5"/>
      <c r="ITK127" s="5"/>
      <c r="ITL127" s="5"/>
      <c r="ITM127" s="5"/>
      <c r="ITN127" s="5"/>
      <c r="ITO127" s="5"/>
      <c r="ITP127" s="5"/>
      <c r="ITQ127" s="5"/>
      <c r="ITR127" s="5"/>
      <c r="ITS127" s="5"/>
      <c r="ITT127" s="5"/>
      <c r="ITU127" s="5"/>
      <c r="ITV127" s="5"/>
      <c r="ITW127" s="5"/>
      <c r="ITX127" s="5"/>
      <c r="ITY127" s="5"/>
      <c r="ITZ127" s="5"/>
      <c r="IUA127" s="5"/>
      <c r="IUB127" s="5"/>
      <c r="IUC127" s="5"/>
      <c r="IUD127" s="5"/>
      <c r="IUE127" s="5"/>
      <c r="IUF127" s="5"/>
      <c r="IUG127" s="5"/>
      <c r="IUH127" s="5"/>
      <c r="IUI127" s="5"/>
      <c r="IUJ127" s="5"/>
      <c r="IUK127" s="5"/>
      <c r="IUL127" s="5"/>
      <c r="IUM127" s="5"/>
      <c r="IUN127" s="5"/>
      <c r="IUO127" s="5"/>
      <c r="IUP127" s="5"/>
      <c r="IUQ127" s="5"/>
      <c r="IUR127" s="5"/>
      <c r="IUS127" s="5"/>
      <c r="IUT127" s="5"/>
      <c r="IUU127" s="5"/>
      <c r="IUV127" s="5"/>
      <c r="IUW127" s="5"/>
      <c r="IUX127" s="5"/>
      <c r="IUY127" s="5"/>
      <c r="IUZ127" s="5"/>
      <c r="IVA127" s="5"/>
      <c r="IVB127" s="5"/>
      <c r="IVC127" s="5"/>
      <c r="IVD127" s="5"/>
      <c r="IVE127" s="5"/>
      <c r="IVF127" s="5"/>
      <c r="IVG127" s="5"/>
      <c r="IVH127" s="5"/>
      <c r="IVI127" s="5"/>
      <c r="IVJ127" s="5"/>
      <c r="IVK127" s="5"/>
      <c r="IVL127" s="5"/>
      <c r="IVM127" s="5"/>
      <c r="IVN127" s="5"/>
      <c r="IVO127" s="5"/>
      <c r="IVP127" s="5"/>
      <c r="IVQ127" s="5"/>
      <c r="IVR127" s="5"/>
      <c r="IVS127" s="5"/>
      <c r="IVT127" s="5"/>
      <c r="IVU127" s="5"/>
      <c r="IVV127" s="5"/>
      <c r="IVW127" s="5"/>
      <c r="IVX127" s="5"/>
      <c r="IVY127" s="5"/>
      <c r="IVZ127" s="5"/>
      <c r="IWA127" s="5"/>
      <c r="IWB127" s="5"/>
      <c r="IWC127" s="5"/>
      <c r="IWD127" s="5"/>
      <c r="IWE127" s="5"/>
      <c r="IWF127" s="5"/>
      <c r="IWG127" s="5"/>
      <c r="IWH127" s="5"/>
      <c r="IWI127" s="5"/>
      <c r="IWJ127" s="5"/>
      <c r="IWK127" s="5"/>
      <c r="IWL127" s="5"/>
      <c r="IWM127" s="5"/>
      <c r="IWN127" s="5"/>
      <c r="IWO127" s="5"/>
      <c r="IWP127" s="5"/>
      <c r="IWQ127" s="5"/>
      <c r="IWR127" s="5"/>
      <c r="IWS127" s="5"/>
      <c r="IWT127" s="5"/>
      <c r="IWU127" s="5"/>
      <c r="IWV127" s="5"/>
      <c r="IWW127" s="5"/>
      <c r="IWX127" s="5"/>
      <c r="IWY127" s="5"/>
      <c r="IWZ127" s="5"/>
      <c r="IXA127" s="5"/>
      <c r="IXB127" s="5"/>
      <c r="IXC127" s="5"/>
      <c r="IXD127" s="5"/>
      <c r="IXE127" s="5"/>
      <c r="IXF127" s="5"/>
      <c r="IXG127" s="5"/>
      <c r="IXH127" s="5"/>
      <c r="IXI127" s="5"/>
      <c r="IXJ127" s="5"/>
      <c r="IXK127" s="5"/>
      <c r="IXL127" s="5"/>
      <c r="IXM127" s="5"/>
      <c r="IXN127" s="5"/>
      <c r="IXO127" s="5"/>
      <c r="IXP127" s="5"/>
      <c r="IXQ127" s="5"/>
      <c r="IXR127" s="5"/>
      <c r="IXS127" s="5"/>
      <c r="IXT127" s="5"/>
      <c r="IXU127" s="5"/>
      <c r="IXV127" s="5"/>
      <c r="IXW127" s="5"/>
      <c r="IXX127" s="5"/>
      <c r="IXY127" s="5"/>
      <c r="IXZ127" s="5"/>
      <c r="IYA127" s="5"/>
      <c r="IYB127" s="5"/>
      <c r="IYC127" s="5"/>
      <c r="IYD127" s="5"/>
      <c r="IYE127" s="5"/>
      <c r="IYF127" s="5"/>
      <c r="IYG127" s="5"/>
      <c r="IYH127" s="5"/>
      <c r="IYI127" s="5"/>
      <c r="IYJ127" s="5"/>
      <c r="IYK127" s="5"/>
      <c r="IYL127" s="5"/>
      <c r="IYM127" s="5"/>
      <c r="IYN127" s="5"/>
      <c r="IYO127" s="5"/>
      <c r="IYP127" s="5"/>
      <c r="IYQ127" s="5"/>
      <c r="IYR127" s="5"/>
      <c r="IYS127" s="5"/>
      <c r="IYT127" s="5"/>
      <c r="IYU127" s="5"/>
      <c r="IYV127" s="5"/>
      <c r="IYW127" s="5"/>
      <c r="IYX127" s="5"/>
      <c r="IYY127" s="5"/>
      <c r="IYZ127" s="5"/>
      <c r="IZA127" s="5"/>
      <c r="IZB127" s="5"/>
      <c r="IZC127" s="5"/>
      <c r="IZD127" s="5"/>
      <c r="IZE127" s="5"/>
      <c r="IZF127" s="5"/>
      <c r="IZG127" s="5"/>
      <c r="IZH127" s="5"/>
      <c r="IZI127" s="5"/>
      <c r="IZJ127" s="5"/>
      <c r="IZK127" s="5"/>
      <c r="IZL127" s="5"/>
      <c r="IZM127" s="5"/>
      <c r="IZN127" s="5"/>
      <c r="IZO127" s="5"/>
      <c r="IZP127" s="5"/>
      <c r="IZQ127" s="5"/>
      <c r="IZR127" s="5"/>
      <c r="IZS127" s="5"/>
      <c r="IZT127" s="5"/>
      <c r="IZU127" s="5"/>
      <c r="IZV127" s="5"/>
      <c r="IZW127" s="5"/>
      <c r="IZX127" s="5"/>
      <c r="IZY127" s="5"/>
      <c r="IZZ127" s="5"/>
      <c r="JAA127" s="5"/>
      <c r="JAB127" s="5"/>
      <c r="JAC127" s="5"/>
      <c r="JAD127" s="5"/>
      <c r="JAE127" s="5"/>
      <c r="JAF127" s="5"/>
      <c r="JAG127" s="5"/>
      <c r="JAH127" s="5"/>
      <c r="JAI127" s="5"/>
      <c r="JAJ127" s="5"/>
      <c r="JAK127" s="5"/>
      <c r="JAL127" s="5"/>
      <c r="JAM127" s="5"/>
      <c r="JAN127" s="5"/>
      <c r="JAO127" s="5"/>
      <c r="JAP127" s="5"/>
      <c r="JAQ127" s="5"/>
      <c r="JAR127" s="5"/>
      <c r="JAS127" s="5"/>
      <c r="JAT127" s="5"/>
      <c r="JAU127" s="5"/>
      <c r="JAV127" s="5"/>
      <c r="JAW127" s="5"/>
      <c r="JAX127" s="5"/>
      <c r="JAY127" s="5"/>
      <c r="JAZ127" s="5"/>
      <c r="JBA127" s="5"/>
      <c r="JBB127" s="5"/>
      <c r="JBC127" s="5"/>
      <c r="JBD127" s="5"/>
      <c r="JBE127" s="5"/>
      <c r="JBF127" s="5"/>
      <c r="JBG127" s="5"/>
      <c r="JBH127" s="5"/>
      <c r="JBI127" s="5"/>
      <c r="JBJ127" s="5"/>
      <c r="JBK127" s="5"/>
      <c r="JBL127" s="5"/>
      <c r="JBM127" s="5"/>
      <c r="JBN127" s="5"/>
      <c r="JBO127" s="5"/>
      <c r="JBP127" s="5"/>
      <c r="JBQ127" s="5"/>
      <c r="JBR127" s="5"/>
      <c r="JBS127" s="5"/>
      <c r="JBT127" s="5"/>
      <c r="JBU127" s="5"/>
      <c r="JBV127" s="5"/>
      <c r="JBW127" s="5"/>
      <c r="JBX127" s="5"/>
      <c r="JBY127" s="5"/>
      <c r="JBZ127" s="5"/>
      <c r="JCA127" s="5"/>
      <c r="JCB127" s="5"/>
      <c r="JCC127" s="5"/>
      <c r="JCD127" s="5"/>
      <c r="JCE127" s="5"/>
      <c r="JCF127" s="5"/>
      <c r="JCG127" s="5"/>
      <c r="JCH127" s="5"/>
      <c r="JCI127" s="5"/>
      <c r="JCJ127" s="5"/>
      <c r="JCK127" s="5"/>
      <c r="JCL127" s="5"/>
      <c r="JCM127" s="5"/>
      <c r="JCN127" s="5"/>
      <c r="JCO127" s="5"/>
      <c r="JCP127" s="5"/>
      <c r="JCQ127" s="5"/>
      <c r="JCR127" s="5"/>
      <c r="JCS127" s="5"/>
      <c r="JCT127" s="5"/>
      <c r="JCU127" s="5"/>
      <c r="JCV127" s="5"/>
      <c r="JCW127" s="5"/>
      <c r="JCX127" s="5"/>
      <c r="JCY127" s="5"/>
      <c r="JCZ127" s="5"/>
      <c r="JDA127" s="5"/>
      <c r="JDB127" s="5"/>
      <c r="JDC127" s="5"/>
      <c r="JDD127" s="5"/>
      <c r="JDE127" s="5"/>
      <c r="JDF127" s="5"/>
      <c r="JDG127" s="5"/>
      <c r="JDH127" s="5"/>
      <c r="JDI127" s="5"/>
      <c r="JDJ127" s="5"/>
      <c r="JDK127" s="5"/>
      <c r="JDL127" s="5"/>
      <c r="JDM127" s="5"/>
      <c r="JDN127" s="5"/>
      <c r="JDO127" s="5"/>
      <c r="JDP127" s="5"/>
      <c r="JDQ127" s="5"/>
      <c r="JDR127" s="5"/>
      <c r="JDS127" s="5"/>
      <c r="JDT127" s="5"/>
      <c r="JDU127" s="5"/>
      <c r="JDV127" s="5"/>
      <c r="JDW127" s="5"/>
      <c r="JDX127" s="5"/>
      <c r="JDY127" s="5"/>
      <c r="JDZ127" s="5"/>
      <c r="JEA127" s="5"/>
      <c r="JEB127" s="5"/>
      <c r="JEC127" s="5"/>
      <c r="JED127" s="5"/>
      <c r="JEE127" s="5"/>
      <c r="JEF127" s="5"/>
      <c r="JEG127" s="5"/>
      <c r="JEH127" s="5"/>
      <c r="JEI127" s="5"/>
      <c r="JEJ127" s="5"/>
      <c r="JEK127" s="5"/>
      <c r="JEL127" s="5"/>
      <c r="JEM127" s="5"/>
      <c r="JEN127" s="5"/>
      <c r="JEO127" s="5"/>
      <c r="JEP127" s="5"/>
      <c r="JEQ127" s="5"/>
      <c r="JER127" s="5"/>
      <c r="JES127" s="5"/>
      <c r="JET127" s="5"/>
      <c r="JEU127" s="5"/>
      <c r="JEV127" s="5"/>
      <c r="JEW127" s="5"/>
      <c r="JEX127" s="5"/>
      <c r="JEY127" s="5"/>
      <c r="JEZ127" s="5"/>
      <c r="JFA127" s="5"/>
      <c r="JFB127" s="5"/>
      <c r="JFC127" s="5"/>
      <c r="JFD127" s="5"/>
      <c r="JFE127" s="5"/>
      <c r="JFF127" s="5"/>
      <c r="JFG127" s="5"/>
      <c r="JFH127" s="5"/>
      <c r="JFI127" s="5"/>
      <c r="JFJ127" s="5"/>
      <c r="JFK127" s="5"/>
      <c r="JFL127" s="5"/>
      <c r="JFM127" s="5"/>
      <c r="JFN127" s="5"/>
      <c r="JFO127" s="5"/>
      <c r="JFP127" s="5"/>
      <c r="JFQ127" s="5"/>
      <c r="JFR127" s="5"/>
      <c r="JFS127" s="5"/>
      <c r="JFT127" s="5"/>
      <c r="JFU127" s="5"/>
      <c r="JFV127" s="5"/>
      <c r="JFW127" s="5"/>
      <c r="JFX127" s="5"/>
      <c r="JFY127" s="5"/>
      <c r="JFZ127" s="5"/>
      <c r="JGA127" s="5"/>
      <c r="JGB127" s="5"/>
      <c r="JGC127" s="5"/>
      <c r="JGD127" s="5"/>
      <c r="JGE127" s="5"/>
      <c r="JGF127" s="5"/>
      <c r="JGG127" s="5"/>
      <c r="JGH127" s="5"/>
      <c r="JGI127" s="5"/>
      <c r="JGJ127" s="5"/>
      <c r="JGK127" s="5"/>
      <c r="JGL127" s="5"/>
      <c r="JGM127" s="5"/>
      <c r="JGN127" s="5"/>
      <c r="JGO127" s="5"/>
      <c r="JGP127" s="5"/>
      <c r="JGQ127" s="5"/>
      <c r="JGR127" s="5"/>
      <c r="JGS127" s="5"/>
      <c r="JGT127" s="5"/>
      <c r="JGU127" s="5"/>
      <c r="JGV127" s="5"/>
      <c r="JGW127" s="5"/>
      <c r="JGX127" s="5"/>
      <c r="JGY127" s="5"/>
      <c r="JGZ127" s="5"/>
      <c r="JHA127" s="5"/>
      <c r="JHB127" s="5"/>
      <c r="JHC127" s="5"/>
      <c r="JHD127" s="5"/>
      <c r="JHE127" s="5"/>
      <c r="JHF127" s="5"/>
      <c r="JHG127" s="5"/>
      <c r="JHH127" s="5"/>
      <c r="JHI127" s="5"/>
      <c r="JHJ127" s="5"/>
      <c r="JHK127" s="5"/>
      <c r="JHL127" s="5"/>
      <c r="JHM127" s="5"/>
      <c r="JHN127" s="5"/>
      <c r="JHO127" s="5"/>
      <c r="JHP127" s="5"/>
      <c r="JHQ127" s="5"/>
      <c r="JHR127" s="5"/>
      <c r="JHS127" s="5"/>
      <c r="JHT127" s="5"/>
      <c r="JHU127" s="5"/>
      <c r="JHV127" s="5"/>
      <c r="JHW127" s="5"/>
      <c r="JHX127" s="5"/>
      <c r="JHY127" s="5"/>
      <c r="JHZ127" s="5"/>
      <c r="JIA127" s="5"/>
      <c r="JIB127" s="5"/>
      <c r="JIC127" s="5"/>
      <c r="JID127" s="5"/>
      <c r="JIE127" s="5"/>
      <c r="JIF127" s="5"/>
      <c r="JIG127" s="5"/>
      <c r="JIH127" s="5"/>
      <c r="JII127" s="5"/>
      <c r="JIJ127" s="5"/>
      <c r="JIK127" s="5"/>
      <c r="JIL127" s="5"/>
      <c r="JIM127" s="5"/>
      <c r="JIN127" s="5"/>
      <c r="JIO127" s="5"/>
      <c r="JIP127" s="5"/>
      <c r="JIQ127" s="5"/>
      <c r="JIR127" s="5"/>
      <c r="JIS127" s="5"/>
      <c r="JIT127" s="5"/>
      <c r="JIU127" s="5"/>
      <c r="JIV127" s="5"/>
      <c r="JIW127" s="5"/>
      <c r="JIX127" s="5"/>
      <c r="JIY127" s="5"/>
      <c r="JIZ127" s="5"/>
      <c r="JJA127" s="5"/>
      <c r="JJB127" s="5"/>
      <c r="JJC127" s="5"/>
      <c r="JJD127" s="5"/>
      <c r="JJE127" s="5"/>
      <c r="JJF127" s="5"/>
      <c r="JJG127" s="5"/>
      <c r="JJH127" s="5"/>
      <c r="JJI127" s="5"/>
      <c r="JJJ127" s="5"/>
      <c r="JJK127" s="5"/>
      <c r="JJL127" s="5"/>
      <c r="JJM127" s="5"/>
      <c r="JJN127" s="5"/>
      <c r="JJO127" s="5"/>
      <c r="JJP127" s="5"/>
      <c r="JJQ127" s="5"/>
      <c r="JJR127" s="5"/>
      <c r="JJS127" s="5"/>
      <c r="JJT127" s="5"/>
      <c r="JJU127" s="5"/>
      <c r="JJV127" s="5"/>
      <c r="JJW127" s="5"/>
      <c r="JJX127" s="5"/>
      <c r="JJY127" s="5"/>
      <c r="JJZ127" s="5"/>
      <c r="JKA127" s="5"/>
      <c r="JKB127" s="5"/>
      <c r="JKC127" s="5"/>
      <c r="JKD127" s="5"/>
      <c r="JKE127" s="5"/>
      <c r="JKF127" s="5"/>
      <c r="JKG127" s="5"/>
      <c r="JKH127" s="5"/>
      <c r="JKI127" s="5"/>
      <c r="JKJ127" s="5"/>
      <c r="JKK127" s="5"/>
      <c r="JKL127" s="5"/>
      <c r="JKM127" s="5"/>
      <c r="JKN127" s="5"/>
      <c r="JKO127" s="5"/>
      <c r="JKP127" s="5"/>
      <c r="JKQ127" s="5"/>
      <c r="JKR127" s="5"/>
      <c r="JKS127" s="5"/>
      <c r="JKT127" s="5"/>
      <c r="JKU127" s="5"/>
      <c r="JKV127" s="5"/>
      <c r="JKW127" s="5"/>
      <c r="JKX127" s="5"/>
      <c r="JKY127" s="5"/>
      <c r="JKZ127" s="5"/>
      <c r="JLA127" s="5"/>
      <c r="JLB127" s="5"/>
      <c r="JLC127" s="5"/>
      <c r="JLD127" s="5"/>
      <c r="JLE127" s="5"/>
      <c r="JLF127" s="5"/>
      <c r="JLG127" s="5"/>
      <c r="JLH127" s="5"/>
      <c r="JLI127" s="5"/>
      <c r="JLJ127" s="5"/>
      <c r="JLK127" s="5"/>
      <c r="JLL127" s="5"/>
      <c r="JLM127" s="5"/>
      <c r="JLN127" s="5"/>
      <c r="JLO127" s="5"/>
      <c r="JLP127" s="5"/>
      <c r="JLQ127" s="5"/>
      <c r="JLR127" s="5"/>
      <c r="JLS127" s="5"/>
      <c r="JLT127" s="5"/>
      <c r="JLU127" s="5"/>
      <c r="JLV127" s="5"/>
      <c r="JLW127" s="5"/>
      <c r="JLX127" s="5"/>
      <c r="JLY127" s="5"/>
      <c r="JLZ127" s="5"/>
      <c r="JMA127" s="5"/>
      <c r="JMB127" s="5"/>
      <c r="JMC127" s="5"/>
      <c r="JMD127" s="5"/>
      <c r="JME127" s="5"/>
      <c r="JMF127" s="5"/>
      <c r="JMG127" s="5"/>
      <c r="JMH127" s="5"/>
      <c r="JMI127" s="5"/>
      <c r="JMJ127" s="5"/>
      <c r="JMK127" s="5"/>
      <c r="JML127" s="5"/>
      <c r="JMM127" s="5"/>
      <c r="JMN127" s="5"/>
      <c r="JMO127" s="5"/>
      <c r="JMP127" s="5"/>
      <c r="JMQ127" s="5"/>
      <c r="JMR127" s="5"/>
      <c r="JMS127" s="5"/>
      <c r="JMT127" s="5"/>
      <c r="JMU127" s="5"/>
      <c r="JMV127" s="5"/>
      <c r="JMW127" s="5"/>
      <c r="JMX127" s="5"/>
      <c r="JMY127" s="5"/>
      <c r="JMZ127" s="5"/>
      <c r="JNA127" s="5"/>
      <c r="JNB127" s="5"/>
      <c r="JNC127" s="5"/>
      <c r="JND127" s="5"/>
      <c r="JNE127" s="5"/>
      <c r="JNF127" s="5"/>
      <c r="JNG127" s="5"/>
      <c r="JNH127" s="5"/>
      <c r="JNI127" s="5"/>
      <c r="JNJ127" s="5"/>
      <c r="JNK127" s="5"/>
      <c r="JNL127" s="5"/>
      <c r="JNM127" s="5"/>
      <c r="JNN127" s="5"/>
      <c r="JNO127" s="5"/>
      <c r="JNP127" s="5"/>
      <c r="JNQ127" s="5"/>
      <c r="JNR127" s="5"/>
      <c r="JNS127" s="5"/>
      <c r="JNT127" s="5"/>
      <c r="JNU127" s="5"/>
      <c r="JNV127" s="5"/>
      <c r="JNW127" s="5"/>
      <c r="JNX127" s="5"/>
      <c r="JNY127" s="5"/>
      <c r="JNZ127" s="5"/>
      <c r="JOA127" s="5"/>
      <c r="JOB127" s="5"/>
      <c r="JOC127" s="5"/>
      <c r="JOD127" s="5"/>
      <c r="JOE127" s="5"/>
      <c r="JOF127" s="5"/>
      <c r="JOG127" s="5"/>
      <c r="JOH127" s="5"/>
      <c r="JOI127" s="5"/>
      <c r="JOJ127" s="5"/>
      <c r="JOK127" s="5"/>
      <c r="JOL127" s="5"/>
      <c r="JOM127" s="5"/>
      <c r="JON127" s="5"/>
      <c r="JOO127" s="5"/>
      <c r="JOP127" s="5"/>
      <c r="JOQ127" s="5"/>
      <c r="JOR127" s="5"/>
      <c r="JOS127" s="5"/>
      <c r="JOT127" s="5"/>
      <c r="JOU127" s="5"/>
      <c r="JOV127" s="5"/>
      <c r="JOW127" s="5"/>
      <c r="JOX127" s="5"/>
      <c r="JOY127" s="5"/>
      <c r="JOZ127" s="5"/>
      <c r="JPA127" s="5"/>
      <c r="JPB127" s="5"/>
      <c r="JPC127" s="5"/>
      <c r="JPD127" s="5"/>
      <c r="JPE127" s="5"/>
      <c r="JPF127" s="5"/>
      <c r="JPG127" s="5"/>
      <c r="JPH127" s="5"/>
      <c r="JPI127" s="5"/>
      <c r="JPJ127" s="5"/>
      <c r="JPK127" s="5"/>
      <c r="JPL127" s="5"/>
      <c r="JPM127" s="5"/>
      <c r="JPN127" s="5"/>
      <c r="JPO127" s="5"/>
      <c r="JPP127" s="5"/>
      <c r="JPQ127" s="5"/>
      <c r="JPR127" s="5"/>
      <c r="JPS127" s="5"/>
      <c r="JPT127" s="5"/>
      <c r="JPU127" s="5"/>
      <c r="JPV127" s="5"/>
      <c r="JPW127" s="5"/>
      <c r="JPX127" s="5"/>
      <c r="JPY127" s="5"/>
      <c r="JPZ127" s="5"/>
      <c r="JQA127" s="5"/>
      <c r="JQB127" s="5"/>
      <c r="JQC127" s="5"/>
      <c r="JQD127" s="5"/>
      <c r="JQE127" s="5"/>
      <c r="JQF127" s="5"/>
      <c r="JQG127" s="5"/>
      <c r="JQH127" s="5"/>
      <c r="JQI127" s="5"/>
      <c r="JQJ127" s="5"/>
      <c r="JQK127" s="5"/>
      <c r="JQL127" s="5"/>
      <c r="JQM127" s="5"/>
      <c r="JQN127" s="5"/>
      <c r="JQO127" s="5"/>
      <c r="JQP127" s="5"/>
      <c r="JQQ127" s="5"/>
      <c r="JQR127" s="5"/>
      <c r="JQS127" s="5"/>
      <c r="JQT127" s="5"/>
      <c r="JQU127" s="5"/>
      <c r="JQV127" s="5"/>
      <c r="JQW127" s="5"/>
      <c r="JQX127" s="5"/>
      <c r="JQY127" s="5"/>
      <c r="JQZ127" s="5"/>
      <c r="JRA127" s="5"/>
      <c r="JRB127" s="5"/>
      <c r="JRC127" s="5"/>
      <c r="JRD127" s="5"/>
      <c r="JRE127" s="5"/>
      <c r="JRF127" s="5"/>
      <c r="JRG127" s="5"/>
      <c r="JRH127" s="5"/>
      <c r="JRI127" s="5"/>
      <c r="JRJ127" s="5"/>
      <c r="JRK127" s="5"/>
      <c r="JRL127" s="5"/>
      <c r="JRM127" s="5"/>
      <c r="JRN127" s="5"/>
      <c r="JRO127" s="5"/>
      <c r="JRP127" s="5"/>
      <c r="JRQ127" s="5"/>
      <c r="JRR127" s="5"/>
      <c r="JRS127" s="5"/>
      <c r="JRT127" s="5"/>
      <c r="JRU127" s="5"/>
      <c r="JRV127" s="5"/>
      <c r="JRW127" s="5"/>
      <c r="JRX127" s="5"/>
      <c r="JRY127" s="5"/>
      <c r="JRZ127" s="5"/>
      <c r="JSA127" s="5"/>
      <c r="JSB127" s="5"/>
      <c r="JSC127" s="5"/>
      <c r="JSD127" s="5"/>
      <c r="JSE127" s="5"/>
      <c r="JSF127" s="5"/>
      <c r="JSG127" s="5"/>
      <c r="JSH127" s="5"/>
      <c r="JSI127" s="5"/>
      <c r="JSJ127" s="5"/>
      <c r="JSK127" s="5"/>
      <c r="JSL127" s="5"/>
      <c r="JSM127" s="5"/>
      <c r="JSN127" s="5"/>
      <c r="JSO127" s="5"/>
      <c r="JSP127" s="5"/>
      <c r="JSQ127" s="5"/>
      <c r="JSR127" s="5"/>
      <c r="JSS127" s="5"/>
      <c r="JST127" s="5"/>
      <c r="JSU127" s="5"/>
      <c r="JSV127" s="5"/>
      <c r="JSW127" s="5"/>
      <c r="JSX127" s="5"/>
      <c r="JSY127" s="5"/>
      <c r="JSZ127" s="5"/>
      <c r="JTA127" s="5"/>
      <c r="JTB127" s="5"/>
      <c r="JTC127" s="5"/>
      <c r="JTD127" s="5"/>
      <c r="JTE127" s="5"/>
      <c r="JTF127" s="5"/>
      <c r="JTG127" s="5"/>
      <c r="JTH127" s="5"/>
      <c r="JTI127" s="5"/>
      <c r="JTJ127" s="5"/>
      <c r="JTK127" s="5"/>
      <c r="JTL127" s="5"/>
      <c r="JTM127" s="5"/>
      <c r="JTN127" s="5"/>
      <c r="JTO127" s="5"/>
      <c r="JTP127" s="5"/>
      <c r="JTQ127" s="5"/>
      <c r="JTR127" s="5"/>
      <c r="JTS127" s="5"/>
      <c r="JTT127" s="5"/>
      <c r="JTU127" s="5"/>
      <c r="JTV127" s="5"/>
      <c r="JTW127" s="5"/>
      <c r="JTX127" s="5"/>
      <c r="JTY127" s="5"/>
      <c r="JTZ127" s="5"/>
      <c r="JUA127" s="5"/>
      <c r="JUB127" s="5"/>
      <c r="JUC127" s="5"/>
      <c r="JUD127" s="5"/>
      <c r="JUE127" s="5"/>
      <c r="JUF127" s="5"/>
      <c r="JUG127" s="5"/>
      <c r="JUH127" s="5"/>
      <c r="JUI127" s="5"/>
      <c r="JUJ127" s="5"/>
      <c r="JUK127" s="5"/>
      <c r="JUL127" s="5"/>
      <c r="JUM127" s="5"/>
      <c r="JUN127" s="5"/>
      <c r="JUO127" s="5"/>
      <c r="JUP127" s="5"/>
      <c r="JUQ127" s="5"/>
      <c r="JUR127" s="5"/>
      <c r="JUS127" s="5"/>
      <c r="JUT127" s="5"/>
      <c r="JUU127" s="5"/>
      <c r="JUV127" s="5"/>
      <c r="JUW127" s="5"/>
      <c r="JUX127" s="5"/>
      <c r="JUY127" s="5"/>
      <c r="JUZ127" s="5"/>
      <c r="JVA127" s="5"/>
      <c r="JVB127" s="5"/>
      <c r="JVC127" s="5"/>
      <c r="JVD127" s="5"/>
      <c r="JVE127" s="5"/>
      <c r="JVF127" s="5"/>
      <c r="JVG127" s="5"/>
      <c r="JVH127" s="5"/>
      <c r="JVI127" s="5"/>
      <c r="JVJ127" s="5"/>
      <c r="JVK127" s="5"/>
      <c r="JVL127" s="5"/>
      <c r="JVM127" s="5"/>
      <c r="JVN127" s="5"/>
      <c r="JVO127" s="5"/>
      <c r="JVP127" s="5"/>
      <c r="JVQ127" s="5"/>
      <c r="JVR127" s="5"/>
      <c r="JVS127" s="5"/>
      <c r="JVT127" s="5"/>
      <c r="JVU127" s="5"/>
      <c r="JVV127" s="5"/>
      <c r="JVW127" s="5"/>
      <c r="JVX127" s="5"/>
      <c r="JVY127" s="5"/>
      <c r="JVZ127" s="5"/>
      <c r="JWA127" s="5"/>
      <c r="JWB127" s="5"/>
      <c r="JWC127" s="5"/>
      <c r="JWD127" s="5"/>
      <c r="JWE127" s="5"/>
      <c r="JWF127" s="5"/>
      <c r="JWG127" s="5"/>
      <c r="JWH127" s="5"/>
      <c r="JWI127" s="5"/>
      <c r="JWJ127" s="5"/>
      <c r="JWK127" s="5"/>
      <c r="JWL127" s="5"/>
      <c r="JWM127" s="5"/>
      <c r="JWN127" s="5"/>
      <c r="JWO127" s="5"/>
      <c r="JWP127" s="5"/>
      <c r="JWQ127" s="5"/>
      <c r="JWR127" s="5"/>
      <c r="JWS127" s="5"/>
      <c r="JWT127" s="5"/>
      <c r="JWU127" s="5"/>
      <c r="JWV127" s="5"/>
      <c r="JWW127" s="5"/>
      <c r="JWX127" s="5"/>
      <c r="JWY127" s="5"/>
      <c r="JWZ127" s="5"/>
      <c r="JXA127" s="5"/>
      <c r="JXB127" s="5"/>
      <c r="JXC127" s="5"/>
      <c r="JXD127" s="5"/>
      <c r="JXE127" s="5"/>
      <c r="JXF127" s="5"/>
      <c r="JXG127" s="5"/>
      <c r="JXH127" s="5"/>
      <c r="JXI127" s="5"/>
      <c r="JXJ127" s="5"/>
      <c r="JXK127" s="5"/>
      <c r="JXL127" s="5"/>
      <c r="JXM127" s="5"/>
      <c r="JXN127" s="5"/>
      <c r="JXO127" s="5"/>
      <c r="JXP127" s="5"/>
      <c r="JXQ127" s="5"/>
      <c r="JXR127" s="5"/>
      <c r="JXS127" s="5"/>
      <c r="JXT127" s="5"/>
      <c r="JXU127" s="5"/>
      <c r="JXV127" s="5"/>
      <c r="JXW127" s="5"/>
      <c r="JXX127" s="5"/>
      <c r="JXY127" s="5"/>
      <c r="JXZ127" s="5"/>
      <c r="JYA127" s="5"/>
      <c r="JYB127" s="5"/>
      <c r="JYC127" s="5"/>
      <c r="JYD127" s="5"/>
      <c r="JYE127" s="5"/>
      <c r="JYF127" s="5"/>
      <c r="JYG127" s="5"/>
      <c r="JYH127" s="5"/>
      <c r="JYI127" s="5"/>
      <c r="JYJ127" s="5"/>
      <c r="JYK127" s="5"/>
      <c r="JYL127" s="5"/>
      <c r="JYM127" s="5"/>
      <c r="JYN127" s="5"/>
      <c r="JYO127" s="5"/>
      <c r="JYP127" s="5"/>
      <c r="JYQ127" s="5"/>
      <c r="JYR127" s="5"/>
      <c r="JYS127" s="5"/>
      <c r="JYT127" s="5"/>
      <c r="JYU127" s="5"/>
      <c r="JYV127" s="5"/>
      <c r="JYW127" s="5"/>
      <c r="JYX127" s="5"/>
      <c r="JYY127" s="5"/>
      <c r="JYZ127" s="5"/>
      <c r="JZA127" s="5"/>
      <c r="JZB127" s="5"/>
      <c r="JZC127" s="5"/>
      <c r="JZD127" s="5"/>
      <c r="JZE127" s="5"/>
      <c r="JZF127" s="5"/>
      <c r="JZG127" s="5"/>
      <c r="JZH127" s="5"/>
      <c r="JZI127" s="5"/>
      <c r="JZJ127" s="5"/>
      <c r="JZK127" s="5"/>
      <c r="JZL127" s="5"/>
      <c r="JZM127" s="5"/>
      <c r="JZN127" s="5"/>
      <c r="JZO127" s="5"/>
      <c r="JZP127" s="5"/>
      <c r="JZQ127" s="5"/>
      <c r="JZR127" s="5"/>
      <c r="JZS127" s="5"/>
      <c r="JZT127" s="5"/>
      <c r="JZU127" s="5"/>
      <c r="JZV127" s="5"/>
      <c r="JZW127" s="5"/>
      <c r="JZX127" s="5"/>
      <c r="JZY127" s="5"/>
      <c r="JZZ127" s="5"/>
      <c r="KAA127" s="5"/>
      <c r="KAB127" s="5"/>
      <c r="KAC127" s="5"/>
      <c r="KAD127" s="5"/>
      <c r="KAE127" s="5"/>
      <c r="KAF127" s="5"/>
      <c r="KAG127" s="5"/>
      <c r="KAH127" s="5"/>
      <c r="KAI127" s="5"/>
      <c r="KAJ127" s="5"/>
      <c r="KAK127" s="5"/>
      <c r="KAL127" s="5"/>
      <c r="KAM127" s="5"/>
      <c r="KAN127" s="5"/>
      <c r="KAO127" s="5"/>
      <c r="KAP127" s="5"/>
      <c r="KAQ127" s="5"/>
      <c r="KAR127" s="5"/>
      <c r="KAS127" s="5"/>
      <c r="KAT127" s="5"/>
      <c r="KAU127" s="5"/>
      <c r="KAV127" s="5"/>
      <c r="KAW127" s="5"/>
      <c r="KAX127" s="5"/>
      <c r="KAY127" s="5"/>
      <c r="KAZ127" s="5"/>
      <c r="KBA127" s="5"/>
      <c r="KBB127" s="5"/>
      <c r="KBC127" s="5"/>
      <c r="KBD127" s="5"/>
      <c r="KBE127" s="5"/>
      <c r="KBF127" s="5"/>
      <c r="KBG127" s="5"/>
      <c r="KBH127" s="5"/>
      <c r="KBI127" s="5"/>
      <c r="KBJ127" s="5"/>
      <c r="KBK127" s="5"/>
      <c r="KBL127" s="5"/>
      <c r="KBM127" s="5"/>
      <c r="KBN127" s="5"/>
      <c r="KBO127" s="5"/>
      <c r="KBP127" s="5"/>
      <c r="KBQ127" s="5"/>
      <c r="KBR127" s="5"/>
      <c r="KBS127" s="5"/>
      <c r="KBT127" s="5"/>
      <c r="KBU127" s="5"/>
      <c r="KBV127" s="5"/>
      <c r="KBW127" s="5"/>
      <c r="KBX127" s="5"/>
      <c r="KBY127" s="5"/>
      <c r="KBZ127" s="5"/>
      <c r="KCA127" s="5"/>
      <c r="KCB127" s="5"/>
      <c r="KCC127" s="5"/>
      <c r="KCD127" s="5"/>
      <c r="KCE127" s="5"/>
      <c r="KCF127" s="5"/>
      <c r="KCG127" s="5"/>
      <c r="KCH127" s="5"/>
      <c r="KCI127" s="5"/>
      <c r="KCJ127" s="5"/>
      <c r="KCK127" s="5"/>
      <c r="KCL127" s="5"/>
      <c r="KCM127" s="5"/>
      <c r="KCN127" s="5"/>
      <c r="KCO127" s="5"/>
      <c r="KCP127" s="5"/>
      <c r="KCQ127" s="5"/>
      <c r="KCR127" s="5"/>
      <c r="KCS127" s="5"/>
      <c r="KCT127" s="5"/>
      <c r="KCU127" s="5"/>
      <c r="KCV127" s="5"/>
      <c r="KCW127" s="5"/>
      <c r="KCX127" s="5"/>
      <c r="KCY127" s="5"/>
      <c r="KCZ127" s="5"/>
      <c r="KDA127" s="5"/>
      <c r="KDB127" s="5"/>
      <c r="KDC127" s="5"/>
      <c r="KDD127" s="5"/>
      <c r="KDE127" s="5"/>
      <c r="KDF127" s="5"/>
      <c r="KDG127" s="5"/>
      <c r="KDH127" s="5"/>
      <c r="KDI127" s="5"/>
      <c r="KDJ127" s="5"/>
      <c r="KDK127" s="5"/>
      <c r="KDL127" s="5"/>
      <c r="KDM127" s="5"/>
      <c r="KDN127" s="5"/>
      <c r="KDO127" s="5"/>
      <c r="KDP127" s="5"/>
      <c r="KDQ127" s="5"/>
      <c r="KDR127" s="5"/>
      <c r="KDS127" s="5"/>
      <c r="KDT127" s="5"/>
      <c r="KDU127" s="5"/>
      <c r="KDV127" s="5"/>
      <c r="KDW127" s="5"/>
      <c r="KDX127" s="5"/>
      <c r="KDY127" s="5"/>
      <c r="KDZ127" s="5"/>
      <c r="KEA127" s="5"/>
      <c r="KEB127" s="5"/>
      <c r="KEC127" s="5"/>
      <c r="KED127" s="5"/>
      <c r="KEE127" s="5"/>
      <c r="KEF127" s="5"/>
      <c r="KEG127" s="5"/>
      <c r="KEH127" s="5"/>
      <c r="KEI127" s="5"/>
      <c r="KEJ127" s="5"/>
      <c r="KEK127" s="5"/>
      <c r="KEL127" s="5"/>
      <c r="KEM127" s="5"/>
      <c r="KEN127" s="5"/>
      <c r="KEO127" s="5"/>
      <c r="KEP127" s="5"/>
      <c r="KEQ127" s="5"/>
      <c r="KER127" s="5"/>
      <c r="KES127" s="5"/>
      <c r="KET127" s="5"/>
      <c r="KEU127" s="5"/>
      <c r="KEV127" s="5"/>
      <c r="KEW127" s="5"/>
      <c r="KEX127" s="5"/>
      <c r="KEY127" s="5"/>
      <c r="KEZ127" s="5"/>
      <c r="KFA127" s="5"/>
      <c r="KFB127" s="5"/>
      <c r="KFC127" s="5"/>
      <c r="KFD127" s="5"/>
      <c r="KFE127" s="5"/>
      <c r="KFF127" s="5"/>
      <c r="KFG127" s="5"/>
      <c r="KFH127" s="5"/>
      <c r="KFI127" s="5"/>
      <c r="KFJ127" s="5"/>
      <c r="KFK127" s="5"/>
      <c r="KFL127" s="5"/>
      <c r="KFM127" s="5"/>
      <c r="KFN127" s="5"/>
      <c r="KFO127" s="5"/>
      <c r="KFP127" s="5"/>
      <c r="KFQ127" s="5"/>
      <c r="KFR127" s="5"/>
      <c r="KFS127" s="5"/>
      <c r="KFT127" s="5"/>
      <c r="KFU127" s="5"/>
      <c r="KFV127" s="5"/>
      <c r="KFW127" s="5"/>
      <c r="KFX127" s="5"/>
      <c r="KFY127" s="5"/>
      <c r="KFZ127" s="5"/>
      <c r="KGA127" s="5"/>
      <c r="KGB127" s="5"/>
      <c r="KGC127" s="5"/>
      <c r="KGD127" s="5"/>
      <c r="KGE127" s="5"/>
      <c r="KGF127" s="5"/>
      <c r="KGG127" s="5"/>
      <c r="KGH127" s="5"/>
      <c r="KGI127" s="5"/>
      <c r="KGJ127" s="5"/>
      <c r="KGK127" s="5"/>
      <c r="KGL127" s="5"/>
      <c r="KGM127" s="5"/>
      <c r="KGN127" s="5"/>
      <c r="KGO127" s="5"/>
      <c r="KGP127" s="5"/>
      <c r="KGQ127" s="5"/>
      <c r="KGR127" s="5"/>
      <c r="KGS127" s="5"/>
      <c r="KGT127" s="5"/>
      <c r="KGU127" s="5"/>
      <c r="KGV127" s="5"/>
      <c r="KGW127" s="5"/>
      <c r="KGX127" s="5"/>
      <c r="KGY127" s="5"/>
      <c r="KGZ127" s="5"/>
      <c r="KHA127" s="5"/>
      <c r="KHB127" s="5"/>
      <c r="KHC127" s="5"/>
      <c r="KHD127" s="5"/>
      <c r="KHE127" s="5"/>
      <c r="KHF127" s="5"/>
      <c r="KHG127" s="5"/>
      <c r="KHH127" s="5"/>
      <c r="KHI127" s="5"/>
      <c r="KHJ127" s="5"/>
      <c r="KHK127" s="5"/>
      <c r="KHL127" s="5"/>
      <c r="KHM127" s="5"/>
      <c r="KHN127" s="5"/>
      <c r="KHO127" s="5"/>
      <c r="KHP127" s="5"/>
      <c r="KHQ127" s="5"/>
      <c r="KHR127" s="5"/>
      <c r="KHS127" s="5"/>
      <c r="KHT127" s="5"/>
      <c r="KHU127" s="5"/>
      <c r="KHV127" s="5"/>
      <c r="KHW127" s="5"/>
      <c r="KHX127" s="5"/>
      <c r="KHY127" s="5"/>
      <c r="KHZ127" s="5"/>
      <c r="KIA127" s="5"/>
      <c r="KIB127" s="5"/>
      <c r="KIC127" s="5"/>
      <c r="KID127" s="5"/>
      <c r="KIE127" s="5"/>
      <c r="KIF127" s="5"/>
      <c r="KIG127" s="5"/>
      <c r="KIH127" s="5"/>
      <c r="KII127" s="5"/>
      <c r="KIJ127" s="5"/>
      <c r="KIK127" s="5"/>
      <c r="KIL127" s="5"/>
      <c r="KIM127" s="5"/>
      <c r="KIN127" s="5"/>
      <c r="KIO127" s="5"/>
      <c r="KIP127" s="5"/>
      <c r="KIQ127" s="5"/>
      <c r="KIR127" s="5"/>
      <c r="KIS127" s="5"/>
      <c r="KIT127" s="5"/>
      <c r="KIU127" s="5"/>
      <c r="KIV127" s="5"/>
      <c r="KIW127" s="5"/>
      <c r="KIX127" s="5"/>
      <c r="KIY127" s="5"/>
      <c r="KIZ127" s="5"/>
      <c r="KJA127" s="5"/>
      <c r="KJB127" s="5"/>
      <c r="KJC127" s="5"/>
      <c r="KJD127" s="5"/>
      <c r="KJE127" s="5"/>
      <c r="KJF127" s="5"/>
      <c r="KJG127" s="5"/>
      <c r="KJH127" s="5"/>
      <c r="KJI127" s="5"/>
      <c r="KJJ127" s="5"/>
      <c r="KJK127" s="5"/>
      <c r="KJL127" s="5"/>
      <c r="KJM127" s="5"/>
      <c r="KJN127" s="5"/>
      <c r="KJO127" s="5"/>
      <c r="KJP127" s="5"/>
      <c r="KJQ127" s="5"/>
      <c r="KJR127" s="5"/>
      <c r="KJS127" s="5"/>
      <c r="KJT127" s="5"/>
      <c r="KJU127" s="5"/>
      <c r="KJV127" s="5"/>
      <c r="KJW127" s="5"/>
      <c r="KJX127" s="5"/>
      <c r="KJY127" s="5"/>
      <c r="KJZ127" s="5"/>
      <c r="KKA127" s="5"/>
      <c r="KKB127" s="5"/>
      <c r="KKC127" s="5"/>
      <c r="KKD127" s="5"/>
      <c r="KKE127" s="5"/>
      <c r="KKF127" s="5"/>
      <c r="KKG127" s="5"/>
      <c r="KKH127" s="5"/>
      <c r="KKI127" s="5"/>
      <c r="KKJ127" s="5"/>
      <c r="KKK127" s="5"/>
      <c r="KKL127" s="5"/>
      <c r="KKM127" s="5"/>
      <c r="KKN127" s="5"/>
      <c r="KKO127" s="5"/>
      <c r="KKP127" s="5"/>
      <c r="KKQ127" s="5"/>
      <c r="KKR127" s="5"/>
      <c r="KKS127" s="5"/>
      <c r="KKT127" s="5"/>
      <c r="KKU127" s="5"/>
      <c r="KKV127" s="5"/>
      <c r="KKW127" s="5"/>
      <c r="KKX127" s="5"/>
      <c r="KKY127" s="5"/>
      <c r="KKZ127" s="5"/>
      <c r="KLA127" s="5"/>
      <c r="KLB127" s="5"/>
      <c r="KLC127" s="5"/>
      <c r="KLD127" s="5"/>
      <c r="KLE127" s="5"/>
      <c r="KLF127" s="5"/>
      <c r="KLG127" s="5"/>
      <c r="KLH127" s="5"/>
      <c r="KLI127" s="5"/>
      <c r="KLJ127" s="5"/>
      <c r="KLK127" s="5"/>
      <c r="KLL127" s="5"/>
      <c r="KLM127" s="5"/>
      <c r="KLN127" s="5"/>
      <c r="KLO127" s="5"/>
      <c r="KLP127" s="5"/>
      <c r="KLQ127" s="5"/>
      <c r="KLR127" s="5"/>
      <c r="KLS127" s="5"/>
      <c r="KLT127" s="5"/>
      <c r="KLU127" s="5"/>
      <c r="KLV127" s="5"/>
      <c r="KLW127" s="5"/>
      <c r="KLX127" s="5"/>
      <c r="KLY127" s="5"/>
      <c r="KLZ127" s="5"/>
      <c r="KMA127" s="5"/>
      <c r="KMB127" s="5"/>
      <c r="KMC127" s="5"/>
      <c r="KMD127" s="5"/>
      <c r="KME127" s="5"/>
      <c r="KMF127" s="5"/>
      <c r="KMG127" s="5"/>
      <c r="KMH127" s="5"/>
      <c r="KMI127" s="5"/>
      <c r="KMJ127" s="5"/>
      <c r="KMK127" s="5"/>
      <c r="KML127" s="5"/>
      <c r="KMM127" s="5"/>
      <c r="KMN127" s="5"/>
      <c r="KMO127" s="5"/>
      <c r="KMP127" s="5"/>
      <c r="KMQ127" s="5"/>
      <c r="KMR127" s="5"/>
      <c r="KMS127" s="5"/>
      <c r="KMT127" s="5"/>
      <c r="KMU127" s="5"/>
      <c r="KMV127" s="5"/>
      <c r="KMW127" s="5"/>
      <c r="KMX127" s="5"/>
      <c r="KMY127" s="5"/>
      <c r="KMZ127" s="5"/>
      <c r="KNA127" s="5"/>
      <c r="KNB127" s="5"/>
      <c r="KNC127" s="5"/>
      <c r="KND127" s="5"/>
      <c r="KNE127" s="5"/>
      <c r="KNF127" s="5"/>
      <c r="KNG127" s="5"/>
      <c r="KNH127" s="5"/>
      <c r="KNI127" s="5"/>
      <c r="KNJ127" s="5"/>
      <c r="KNK127" s="5"/>
      <c r="KNL127" s="5"/>
      <c r="KNM127" s="5"/>
      <c r="KNN127" s="5"/>
      <c r="KNO127" s="5"/>
      <c r="KNP127" s="5"/>
      <c r="KNQ127" s="5"/>
      <c r="KNR127" s="5"/>
      <c r="KNS127" s="5"/>
      <c r="KNT127" s="5"/>
      <c r="KNU127" s="5"/>
      <c r="KNV127" s="5"/>
      <c r="KNW127" s="5"/>
      <c r="KNX127" s="5"/>
      <c r="KNY127" s="5"/>
      <c r="KNZ127" s="5"/>
      <c r="KOA127" s="5"/>
      <c r="KOB127" s="5"/>
      <c r="KOC127" s="5"/>
      <c r="KOD127" s="5"/>
      <c r="KOE127" s="5"/>
      <c r="KOF127" s="5"/>
      <c r="KOG127" s="5"/>
      <c r="KOH127" s="5"/>
      <c r="KOI127" s="5"/>
      <c r="KOJ127" s="5"/>
      <c r="KOK127" s="5"/>
      <c r="KOL127" s="5"/>
      <c r="KOM127" s="5"/>
      <c r="KON127" s="5"/>
      <c r="KOO127" s="5"/>
      <c r="KOP127" s="5"/>
      <c r="KOQ127" s="5"/>
      <c r="KOR127" s="5"/>
      <c r="KOS127" s="5"/>
      <c r="KOT127" s="5"/>
      <c r="KOU127" s="5"/>
      <c r="KOV127" s="5"/>
      <c r="KOW127" s="5"/>
      <c r="KOX127" s="5"/>
      <c r="KOY127" s="5"/>
      <c r="KOZ127" s="5"/>
      <c r="KPA127" s="5"/>
      <c r="KPB127" s="5"/>
      <c r="KPC127" s="5"/>
      <c r="KPD127" s="5"/>
      <c r="KPE127" s="5"/>
      <c r="KPF127" s="5"/>
      <c r="KPG127" s="5"/>
      <c r="KPH127" s="5"/>
      <c r="KPI127" s="5"/>
      <c r="KPJ127" s="5"/>
      <c r="KPK127" s="5"/>
      <c r="KPL127" s="5"/>
      <c r="KPM127" s="5"/>
      <c r="KPN127" s="5"/>
      <c r="KPO127" s="5"/>
      <c r="KPP127" s="5"/>
      <c r="KPQ127" s="5"/>
      <c r="KPR127" s="5"/>
      <c r="KPS127" s="5"/>
      <c r="KPT127" s="5"/>
      <c r="KPU127" s="5"/>
      <c r="KPV127" s="5"/>
      <c r="KPW127" s="5"/>
      <c r="KPX127" s="5"/>
      <c r="KPY127" s="5"/>
      <c r="KPZ127" s="5"/>
      <c r="KQA127" s="5"/>
      <c r="KQB127" s="5"/>
      <c r="KQC127" s="5"/>
      <c r="KQD127" s="5"/>
      <c r="KQE127" s="5"/>
      <c r="KQF127" s="5"/>
      <c r="KQG127" s="5"/>
      <c r="KQH127" s="5"/>
      <c r="KQI127" s="5"/>
      <c r="KQJ127" s="5"/>
      <c r="KQK127" s="5"/>
      <c r="KQL127" s="5"/>
      <c r="KQM127" s="5"/>
      <c r="KQN127" s="5"/>
      <c r="KQO127" s="5"/>
      <c r="KQP127" s="5"/>
      <c r="KQQ127" s="5"/>
      <c r="KQR127" s="5"/>
      <c r="KQS127" s="5"/>
      <c r="KQT127" s="5"/>
      <c r="KQU127" s="5"/>
      <c r="KQV127" s="5"/>
      <c r="KQW127" s="5"/>
      <c r="KQX127" s="5"/>
      <c r="KQY127" s="5"/>
      <c r="KQZ127" s="5"/>
      <c r="KRA127" s="5"/>
      <c r="KRB127" s="5"/>
      <c r="KRC127" s="5"/>
      <c r="KRD127" s="5"/>
      <c r="KRE127" s="5"/>
      <c r="KRF127" s="5"/>
      <c r="KRG127" s="5"/>
      <c r="KRH127" s="5"/>
      <c r="KRI127" s="5"/>
      <c r="KRJ127" s="5"/>
      <c r="KRK127" s="5"/>
      <c r="KRL127" s="5"/>
      <c r="KRM127" s="5"/>
      <c r="KRN127" s="5"/>
      <c r="KRO127" s="5"/>
      <c r="KRP127" s="5"/>
      <c r="KRQ127" s="5"/>
      <c r="KRR127" s="5"/>
      <c r="KRS127" s="5"/>
      <c r="KRT127" s="5"/>
      <c r="KRU127" s="5"/>
      <c r="KRV127" s="5"/>
      <c r="KRW127" s="5"/>
      <c r="KRX127" s="5"/>
      <c r="KRY127" s="5"/>
      <c r="KRZ127" s="5"/>
      <c r="KSA127" s="5"/>
      <c r="KSB127" s="5"/>
      <c r="KSC127" s="5"/>
      <c r="KSD127" s="5"/>
      <c r="KSE127" s="5"/>
      <c r="KSF127" s="5"/>
      <c r="KSG127" s="5"/>
      <c r="KSH127" s="5"/>
      <c r="KSI127" s="5"/>
      <c r="KSJ127" s="5"/>
      <c r="KSK127" s="5"/>
      <c r="KSL127" s="5"/>
      <c r="KSM127" s="5"/>
      <c r="KSN127" s="5"/>
      <c r="KSO127" s="5"/>
      <c r="KSP127" s="5"/>
      <c r="KSQ127" s="5"/>
      <c r="KSR127" s="5"/>
      <c r="KSS127" s="5"/>
      <c r="KST127" s="5"/>
      <c r="KSU127" s="5"/>
      <c r="KSV127" s="5"/>
      <c r="KSW127" s="5"/>
      <c r="KSX127" s="5"/>
      <c r="KSY127" s="5"/>
      <c r="KSZ127" s="5"/>
      <c r="KTA127" s="5"/>
      <c r="KTB127" s="5"/>
      <c r="KTC127" s="5"/>
      <c r="KTD127" s="5"/>
      <c r="KTE127" s="5"/>
      <c r="KTF127" s="5"/>
      <c r="KTG127" s="5"/>
      <c r="KTH127" s="5"/>
      <c r="KTI127" s="5"/>
      <c r="KTJ127" s="5"/>
      <c r="KTK127" s="5"/>
      <c r="KTL127" s="5"/>
      <c r="KTM127" s="5"/>
      <c r="KTN127" s="5"/>
      <c r="KTO127" s="5"/>
      <c r="KTP127" s="5"/>
      <c r="KTQ127" s="5"/>
      <c r="KTR127" s="5"/>
      <c r="KTS127" s="5"/>
      <c r="KTT127" s="5"/>
      <c r="KTU127" s="5"/>
      <c r="KTV127" s="5"/>
      <c r="KTW127" s="5"/>
      <c r="KTX127" s="5"/>
      <c r="KTY127" s="5"/>
      <c r="KTZ127" s="5"/>
      <c r="KUA127" s="5"/>
      <c r="KUB127" s="5"/>
      <c r="KUC127" s="5"/>
      <c r="KUD127" s="5"/>
      <c r="KUE127" s="5"/>
      <c r="KUF127" s="5"/>
      <c r="KUG127" s="5"/>
      <c r="KUH127" s="5"/>
      <c r="KUI127" s="5"/>
      <c r="KUJ127" s="5"/>
      <c r="KUK127" s="5"/>
      <c r="KUL127" s="5"/>
      <c r="KUM127" s="5"/>
      <c r="KUN127" s="5"/>
      <c r="KUO127" s="5"/>
      <c r="KUP127" s="5"/>
      <c r="KUQ127" s="5"/>
      <c r="KUR127" s="5"/>
      <c r="KUS127" s="5"/>
      <c r="KUT127" s="5"/>
      <c r="KUU127" s="5"/>
      <c r="KUV127" s="5"/>
      <c r="KUW127" s="5"/>
      <c r="KUX127" s="5"/>
      <c r="KUY127" s="5"/>
      <c r="KUZ127" s="5"/>
      <c r="KVA127" s="5"/>
      <c r="KVB127" s="5"/>
      <c r="KVC127" s="5"/>
      <c r="KVD127" s="5"/>
      <c r="KVE127" s="5"/>
      <c r="KVF127" s="5"/>
      <c r="KVG127" s="5"/>
      <c r="KVH127" s="5"/>
      <c r="KVI127" s="5"/>
      <c r="KVJ127" s="5"/>
      <c r="KVK127" s="5"/>
      <c r="KVL127" s="5"/>
      <c r="KVM127" s="5"/>
      <c r="KVN127" s="5"/>
      <c r="KVO127" s="5"/>
      <c r="KVP127" s="5"/>
      <c r="KVQ127" s="5"/>
      <c r="KVR127" s="5"/>
      <c r="KVS127" s="5"/>
      <c r="KVT127" s="5"/>
      <c r="KVU127" s="5"/>
      <c r="KVV127" s="5"/>
      <c r="KVW127" s="5"/>
      <c r="KVX127" s="5"/>
      <c r="KVY127" s="5"/>
      <c r="KVZ127" s="5"/>
      <c r="KWA127" s="5"/>
      <c r="KWB127" s="5"/>
      <c r="KWC127" s="5"/>
      <c r="KWD127" s="5"/>
      <c r="KWE127" s="5"/>
      <c r="KWF127" s="5"/>
      <c r="KWG127" s="5"/>
      <c r="KWH127" s="5"/>
      <c r="KWI127" s="5"/>
      <c r="KWJ127" s="5"/>
      <c r="KWK127" s="5"/>
      <c r="KWL127" s="5"/>
      <c r="KWM127" s="5"/>
      <c r="KWN127" s="5"/>
      <c r="KWO127" s="5"/>
      <c r="KWP127" s="5"/>
      <c r="KWQ127" s="5"/>
      <c r="KWR127" s="5"/>
      <c r="KWS127" s="5"/>
      <c r="KWT127" s="5"/>
      <c r="KWU127" s="5"/>
      <c r="KWV127" s="5"/>
      <c r="KWW127" s="5"/>
      <c r="KWX127" s="5"/>
      <c r="KWY127" s="5"/>
      <c r="KWZ127" s="5"/>
      <c r="KXA127" s="5"/>
      <c r="KXB127" s="5"/>
      <c r="KXC127" s="5"/>
      <c r="KXD127" s="5"/>
      <c r="KXE127" s="5"/>
      <c r="KXF127" s="5"/>
      <c r="KXG127" s="5"/>
      <c r="KXH127" s="5"/>
      <c r="KXI127" s="5"/>
      <c r="KXJ127" s="5"/>
      <c r="KXK127" s="5"/>
      <c r="KXL127" s="5"/>
      <c r="KXM127" s="5"/>
      <c r="KXN127" s="5"/>
      <c r="KXO127" s="5"/>
      <c r="KXP127" s="5"/>
      <c r="KXQ127" s="5"/>
      <c r="KXR127" s="5"/>
      <c r="KXS127" s="5"/>
      <c r="KXT127" s="5"/>
      <c r="KXU127" s="5"/>
      <c r="KXV127" s="5"/>
      <c r="KXW127" s="5"/>
      <c r="KXX127" s="5"/>
      <c r="KXY127" s="5"/>
      <c r="KXZ127" s="5"/>
      <c r="KYA127" s="5"/>
      <c r="KYB127" s="5"/>
      <c r="KYC127" s="5"/>
      <c r="KYD127" s="5"/>
      <c r="KYE127" s="5"/>
      <c r="KYF127" s="5"/>
      <c r="KYG127" s="5"/>
      <c r="KYH127" s="5"/>
      <c r="KYI127" s="5"/>
      <c r="KYJ127" s="5"/>
      <c r="KYK127" s="5"/>
      <c r="KYL127" s="5"/>
      <c r="KYM127" s="5"/>
      <c r="KYN127" s="5"/>
      <c r="KYO127" s="5"/>
      <c r="KYP127" s="5"/>
      <c r="KYQ127" s="5"/>
      <c r="KYR127" s="5"/>
      <c r="KYS127" s="5"/>
      <c r="KYT127" s="5"/>
      <c r="KYU127" s="5"/>
      <c r="KYV127" s="5"/>
      <c r="KYW127" s="5"/>
      <c r="KYX127" s="5"/>
      <c r="KYY127" s="5"/>
      <c r="KYZ127" s="5"/>
      <c r="KZA127" s="5"/>
      <c r="KZB127" s="5"/>
      <c r="KZC127" s="5"/>
      <c r="KZD127" s="5"/>
      <c r="KZE127" s="5"/>
      <c r="KZF127" s="5"/>
      <c r="KZG127" s="5"/>
      <c r="KZH127" s="5"/>
      <c r="KZI127" s="5"/>
      <c r="KZJ127" s="5"/>
      <c r="KZK127" s="5"/>
      <c r="KZL127" s="5"/>
      <c r="KZM127" s="5"/>
      <c r="KZN127" s="5"/>
      <c r="KZO127" s="5"/>
      <c r="KZP127" s="5"/>
      <c r="KZQ127" s="5"/>
      <c r="KZR127" s="5"/>
      <c r="KZS127" s="5"/>
      <c r="KZT127" s="5"/>
      <c r="KZU127" s="5"/>
      <c r="KZV127" s="5"/>
      <c r="KZW127" s="5"/>
      <c r="KZX127" s="5"/>
      <c r="KZY127" s="5"/>
      <c r="KZZ127" s="5"/>
      <c r="LAA127" s="5"/>
      <c r="LAB127" s="5"/>
      <c r="LAC127" s="5"/>
      <c r="LAD127" s="5"/>
      <c r="LAE127" s="5"/>
      <c r="LAF127" s="5"/>
      <c r="LAG127" s="5"/>
      <c r="LAH127" s="5"/>
      <c r="LAI127" s="5"/>
      <c r="LAJ127" s="5"/>
      <c r="LAK127" s="5"/>
      <c r="LAL127" s="5"/>
      <c r="LAM127" s="5"/>
      <c r="LAN127" s="5"/>
      <c r="LAO127" s="5"/>
      <c r="LAP127" s="5"/>
      <c r="LAQ127" s="5"/>
      <c r="LAR127" s="5"/>
      <c r="LAS127" s="5"/>
      <c r="LAT127" s="5"/>
      <c r="LAU127" s="5"/>
      <c r="LAV127" s="5"/>
      <c r="LAW127" s="5"/>
      <c r="LAX127" s="5"/>
      <c r="LAY127" s="5"/>
      <c r="LAZ127" s="5"/>
      <c r="LBA127" s="5"/>
      <c r="LBB127" s="5"/>
      <c r="LBC127" s="5"/>
      <c r="LBD127" s="5"/>
      <c r="LBE127" s="5"/>
      <c r="LBF127" s="5"/>
      <c r="LBG127" s="5"/>
      <c r="LBH127" s="5"/>
      <c r="LBI127" s="5"/>
      <c r="LBJ127" s="5"/>
      <c r="LBK127" s="5"/>
      <c r="LBL127" s="5"/>
      <c r="LBM127" s="5"/>
      <c r="LBN127" s="5"/>
      <c r="LBO127" s="5"/>
      <c r="LBP127" s="5"/>
      <c r="LBQ127" s="5"/>
      <c r="LBR127" s="5"/>
      <c r="LBS127" s="5"/>
      <c r="LBT127" s="5"/>
      <c r="LBU127" s="5"/>
      <c r="LBV127" s="5"/>
      <c r="LBW127" s="5"/>
      <c r="LBX127" s="5"/>
      <c r="LBY127" s="5"/>
      <c r="LBZ127" s="5"/>
      <c r="LCA127" s="5"/>
      <c r="LCB127" s="5"/>
      <c r="LCC127" s="5"/>
      <c r="LCD127" s="5"/>
      <c r="LCE127" s="5"/>
      <c r="LCF127" s="5"/>
      <c r="LCG127" s="5"/>
      <c r="LCH127" s="5"/>
      <c r="LCI127" s="5"/>
      <c r="LCJ127" s="5"/>
      <c r="LCK127" s="5"/>
      <c r="LCL127" s="5"/>
      <c r="LCM127" s="5"/>
      <c r="LCN127" s="5"/>
      <c r="LCO127" s="5"/>
      <c r="LCP127" s="5"/>
      <c r="LCQ127" s="5"/>
      <c r="LCR127" s="5"/>
      <c r="LCS127" s="5"/>
      <c r="LCT127" s="5"/>
      <c r="LCU127" s="5"/>
      <c r="LCV127" s="5"/>
      <c r="LCW127" s="5"/>
      <c r="LCX127" s="5"/>
      <c r="LCY127" s="5"/>
      <c r="LCZ127" s="5"/>
      <c r="LDA127" s="5"/>
      <c r="LDB127" s="5"/>
      <c r="LDC127" s="5"/>
      <c r="LDD127" s="5"/>
      <c r="LDE127" s="5"/>
      <c r="LDF127" s="5"/>
      <c r="LDG127" s="5"/>
      <c r="LDH127" s="5"/>
      <c r="LDI127" s="5"/>
      <c r="LDJ127" s="5"/>
      <c r="LDK127" s="5"/>
      <c r="LDL127" s="5"/>
      <c r="LDM127" s="5"/>
      <c r="LDN127" s="5"/>
      <c r="LDO127" s="5"/>
      <c r="LDP127" s="5"/>
      <c r="LDQ127" s="5"/>
      <c r="LDR127" s="5"/>
      <c r="LDS127" s="5"/>
      <c r="LDT127" s="5"/>
      <c r="LDU127" s="5"/>
      <c r="LDV127" s="5"/>
      <c r="LDW127" s="5"/>
      <c r="LDX127" s="5"/>
      <c r="LDY127" s="5"/>
      <c r="LDZ127" s="5"/>
      <c r="LEA127" s="5"/>
      <c r="LEB127" s="5"/>
      <c r="LEC127" s="5"/>
      <c r="LED127" s="5"/>
      <c r="LEE127" s="5"/>
      <c r="LEF127" s="5"/>
      <c r="LEG127" s="5"/>
      <c r="LEH127" s="5"/>
      <c r="LEI127" s="5"/>
      <c r="LEJ127" s="5"/>
      <c r="LEK127" s="5"/>
      <c r="LEL127" s="5"/>
      <c r="LEM127" s="5"/>
      <c r="LEN127" s="5"/>
      <c r="LEO127" s="5"/>
      <c r="LEP127" s="5"/>
      <c r="LEQ127" s="5"/>
      <c r="LER127" s="5"/>
      <c r="LES127" s="5"/>
      <c r="LET127" s="5"/>
      <c r="LEU127" s="5"/>
      <c r="LEV127" s="5"/>
      <c r="LEW127" s="5"/>
      <c r="LEX127" s="5"/>
      <c r="LEY127" s="5"/>
      <c r="LEZ127" s="5"/>
      <c r="LFA127" s="5"/>
      <c r="LFB127" s="5"/>
      <c r="LFC127" s="5"/>
      <c r="LFD127" s="5"/>
      <c r="LFE127" s="5"/>
      <c r="LFF127" s="5"/>
      <c r="LFG127" s="5"/>
      <c r="LFH127" s="5"/>
      <c r="LFI127" s="5"/>
      <c r="LFJ127" s="5"/>
      <c r="LFK127" s="5"/>
      <c r="LFL127" s="5"/>
      <c r="LFM127" s="5"/>
      <c r="LFN127" s="5"/>
      <c r="LFO127" s="5"/>
      <c r="LFP127" s="5"/>
      <c r="LFQ127" s="5"/>
      <c r="LFR127" s="5"/>
      <c r="LFS127" s="5"/>
      <c r="LFT127" s="5"/>
      <c r="LFU127" s="5"/>
      <c r="LFV127" s="5"/>
      <c r="LFW127" s="5"/>
      <c r="LFX127" s="5"/>
      <c r="LFY127" s="5"/>
      <c r="LFZ127" s="5"/>
      <c r="LGA127" s="5"/>
      <c r="LGB127" s="5"/>
      <c r="LGC127" s="5"/>
      <c r="LGD127" s="5"/>
      <c r="LGE127" s="5"/>
      <c r="LGF127" s="5"/>
      <c r="LGG127" s="5"/>
      <c r="LGH127" s="5"/>
      <c r="LGI127" s="5"/>
      <c r="LGJ127" s="5"/>
      <c r="LGK127" s="5"/>
      <c r="LGL127" s="5"/>
      <c r="LGM127" s="5"/>
      <c r="LGN127" s="5"/>
      <c r="LGO127" s="5"/>
      <c r="LGP127" s="5"/>
      <c r="LGQ127" s="5"/>
      <c r="LGR127" s="5"/>
      <c r="LGS127" s="5"/>
      <c r="LGT127" s="5"/>
      <c r="LGU127" s="5"/>
      <c r="LGV127" s="5"/>
      <c r="LGW127" s="5"/>
      <c r="LGX127" s="5"/>
      <c r="LGY127" s="5"/>
      <c r="LGZ127" s="5"/>
      <c r="LHA127" s="5"/>
      <c r="LHB127" s="5"/>
      <c r="LHC127" s="5"/>
      <c r="LHD127" s="5"/>
      <c r="LHE127" s="5"/>
      <c r="LHF127" s="5"/>
      <c r="LHG127" s="5"/>
      <c r="LHH127" s="5"/>
      <c r="LHI127" s="5"/>
      <c r="LHJ127" s="5"/>
      <c r="LHK127" s="5"/>
      <c r="LHL127" s="5"/>
      <c r="LHM127" s="5"/>
      <c r="LHN127" s="5"/>
      <c r="LHO127" s="5"/>
      <c r="LHP127" s="5"/>
      <c r="LHQ127" s="5"/>
      <c r="LHR127" s="5"/>
      <c r="LHS127" s="5"/>
      <c r="LHT127" s="5"/>
      <c r="LHU127" s="5"/>
      <c r="LHV127" s="5"/>
      <c r="LHW127" s="5"/>
      <c r="LHX127" s="5"/>
      <c r="LHY127" s="5"/>
      <c r="LHZ127" s="5"/>
      <c r="LIA127" s="5"/>
      <c r="LIB127" s="5"/>
      <c r="LIC127" s="5"/>
      <c r="LID127" s="5"/>
      <c r="LIE127" s="5"/>
      <c r="LIF127" s="5"/>
      <c r="LIG127" s="5"/>
      <c r="LIH127" s="5"/>
      <c r="LII127" s="5"/>
      <c r="LIJ127" s="5"/>
      <c r="LIK127" s="5"/>
      <c r="LIL127" s="5"/>
      <c r="LIM127" s="5"/>
      <c r="LIN127" s="5"/>
      <c r="LIO127" s="5"/>
      <c r="LIP127" s="5"/>
      <c r="LIQ127" s="5"/>
      <c r="LIR127" s="5"/>
      <c r="LIS127" s="5"/>
      <c r="LIT127" s="5"/>
      <c r="LIU127" s="5"/>
      <c r="LIV127" s="5"/>
      <c r="LIW127" s="5"/>
      <c r="LIX127" s="5"/>
      <c r="LIY127" s="5"/>
      <c r="LIZ127" s="5"/>
      <c r="LJA127" s="5"/>
      <c r="LJB127" s="5"/>
      <c r="LJC127" s="5"/>
      <c r="LJD127" s="5"/>
      <c r="LJE127" s="5"/>
      <c r="LJF127" s="5"/>
      <c r="LJG127" s="5"/>
      <c r="LJH127" s="5"/>
      <c r="LJI127" s="5"/>
      <c r="LJJ127" s="5"/>
      <c r="LJK127" s="5"/>
      <c r="LJL127" s="5"/>
      <c r="LJM127" s="5"/>
      <c r="LJN127" s="5"/>
      <c r="LJO127" s="5"/>
      <c r="LJP127" s="5"/>
      <c r="LJQ127" s="5"/>
      <c r="LJR127" s="5"/>
      <c r="LJS127" s="5"/>
      <c r="LJT127" s="5"/>
      <c r="LJU127" s="5"/>
      <c r="LJV127" s="5"/>
      <c r="LJW127" s="5"/>
      <c r="LJX127" s="5"/>
      <c r="LJY127" s="5"/>
      <c r="LJZ127" s="5"/>
      <c r="LKA127" s="5"/>
      <c r="LKB127" s="5"/>
      <c r="LKC127" s="5"/>
      <c r="LKD127" s="5"/>
      <c r="LKE127" s="5"/>
      <c r="LKF127" s="5"/>
      <c r="LKG127" s="5"/>
      <c r="LKH127" s="5"/>
      <c r="LKI127" s="5"/>
      <c r="LKJ127" s="5"/>
      <c r="LKK127" s="5"/>
      <c r="LKL127" s="5"/>
      <c r="LKM127" s="5"/>
      <c r="LKN127" s="5"/>
      <c r="LKO127" s="5"/>
      <c r="LKP127" s="5"/>
      <c r="LKQ127" s="5"/>
      <c r="LKR127" s="5"/>
      <c r="LKS127" s="5"/>
      <c r="LKT127" s="5"/>
      <c r="LKU127" s="5"/>
      <c r="LKV127" s="5"/>
      <c r="LKW127" s="5"/>
      <c r="LKX127" s="5"/>
      <c r="LKY127" s="5"/>
      <c r="LKZ127" s="5"/>
      <c r="LLA127" s="5"/>
      <c r="LLB127" s="5"/>
      <c r="LLC127" s="5"/>
      <c r="LLD127" s="5"/>
      <c r="LLE127" s="5"/>
      <c r="LLF127" s="5"/>
      <c r="LLG127" s="5"/>
      <c r="LLH127" s="5"/>
      <c r="LLI127" s="5"/>
      <c r="LLJ127" s="5"/>
      <c r="LLK127" s="5"/>
      <c r="LLL127" s="5"/>
      <c r="LLM127" s="5"/>
      <c r="LLN127" s="5"/>
      <c r="LLO127" s="5"/>
      <c r="LLP127" s="5"/>
      <c r="LLQ127" s="5"/>
      <c r="LLR127" s="5"/>
      <c r="LLS127" s="5"/>
      <c r="LLT127" s="5"/>
      <c r="LLU127" s="5"/>
      <c r="LLV127" s="5"/>
      <c r="LLW127" s="5"/>
      <c r="LLX127" s="5"/>
      <c r="LLY127" s="5"/>
      <c r="LLZ127" s="5"/>
      <c r="LMA127" s="5"/>
      <c r="LMB127" s="5"/>
      <c r="LMC127" s="5"/>
      <c r="LMD127" s="5"/>
      <c r="LME127" s="5"/>
      <c r="LMF127" s="5"/>
      <c r="LMG127" s="5"/>
      <c r="LMH127" s="5"/>
      <c r="LMI127" s="5"/>
      <c r="LMJ127" s="5"/>
      <c r="LMK127" s="5"/>
      <c r="LML127" s="5"/>
      <c r="LMM127" s="5"/>
      <c r="LMN127" s="5"/>
      <c r="LMO127" s="5"/>
      <c r="LMP127" s="5"/>
      <c r="LMQ127" s="5"/>
      <c r="LMR127" s="5"/>
      <c r="LMS127" s="5"/>
      <c r="LMT127" s="5"/>
      <c r="LMU127" s="5"/>
      <c r="LMV127" s="5"/>
      <c r="LMW127" s="5"/>
      <c r="LMX127" s="5"/>
      <c r="LMY127" s="5"/>
      <c r="LMZ127" s="5"/>
      <c r="LNA127" s="5"/>
      <c r="LNB127" s="5"/>
      <c r="LNC127" s="5"/>
      <c r="LND127" s="5"/>
      <c r="LNE127" s="5"/>
      <c r="LNF127" s="5"/>
      <c r="LNG127" s="5"/>
      <c r="LNH127" s="5"/>
      <c r="LNI127" s="5"/>
      <c r="LNJ127" s="5"/>
      <c r="LNK127" s="5"/>
      <c r="LNL127" s="5"/>
      <c r="LNM127" s="5"/>
      <c r="LNN127" s="5"/>
      <c r="LNO127" s="5"/>
      <c r="LNP127" s="5"/>
      <c r="LNQ127" s="5"/>
      <c r="LNR127" s="5"/>
      <c r="LNS127" s="5"/>
      <c r="LNT127" s="5"/>
      <c r="LNU127" s="5"/>
      <c r="LNV127" s="5"/>
      <c r="LNW127" s="5"/>
      <c r="LNX127" s="5"/>
      <c r="LNY127" s="5"/>
      <c r="LNZ127" s="5"/>
      <c r="LOA127" s="5"/>
      <c r="LOB127" s="5"/>
      <c r="LOC127" s="5"/>
      <c r="LOD127" s="5"/>
      <c r="LOE127" s="5"/>
      <c r="LOF127" s="5"/>
      <c r="LOG127" s="5"/>
      <c r="LOH127" s="5"/>
      <c r="LOI127" s="5"/>
      <c r="LOJ127" s="5"/>
      <c r="LOK127" s="5"/>
      <c r="LOL127" s="5"/>
      <c r="LOM127" s="5"/>
      <c r="LON127" s="5"/>
      <c r="LOO127" s="5"/>
      <c r="LOP127" s="5"/>
      <c r="LOQ127" s="5"/>
      <c r="LOR127" s="5"/>
      <c r="LOS127" s="5"/>
      <c r="LOT127" s="5"/>
      <c r="LOU127" s="5"/>
      <c r="LOV127" s="5"/>
      <c r="LOW127" s="5"/>
      <c r="LOX127" s="5"/>
      <c r="LOY127" s="5"/>
      <c r="LOZ127" s="5"/>
      <c r="LPA127" s="5"/>
      <c r="LPB127" s="5"/>
      <c r="LPC127" s="5"/>
      <c r="LPD127" s="5"/>
      <c r="LPE127" s="5"/>
      <c r="LPF127" s="5"/>
      <c r="LPG127" s="5"/>
      <c r="LPH127" s="5"/>
      <c r="LPI127" s="5"/>
      <c r="LPJ127" s="5"/>
      <c r="LPK127" s="5"/>
      <c r="LPL127" s="5"/>
      <c r="LPM127" s="5"/>
      <c r="LPN127" s="5"/>
      <c r="LPO127" s="5"/>
      <c r="LPP127" s="5"/>
      <c r="LPQ127" s="5"/>
      <c r="LPR127" s="5"/>
      <c r="LPS127" s="5"/>
      <c r="LPT127" s="5"/>
      <c r="LPU127" s="5"/>
      <c r="LPV127" s="5"/>
      <c r="LPW127" s="5"/>
      <c r="LPX127" s="5"/>
      <c r="LPY127" s="5"/>
      <c r="LPZ127" s="5"/>
      <c r="LQA127" s="5"/>
      <c r="LQB127" s="5"/>
      <c r="LQC127" s="5"/>
      <c r="LQD127" s="5"/>
      <c r="LQE127" s="5"/>
      <c r="LQF127" s="5"/>
      <c r="LQG127" s="5"/>
      <c r="LQH127" s="5"/>
      <c r="LQI127" s="5"/>
      <c r="LQJ127" s="5"/>
      <c r="LQK127" s="5"/>
      <c r="LQL127" s="5"/>
      <c r="LQM127" s="5"/>
      <c r="LQN127" s="5"/>
      <c r="LQO127" s="5"/>
      <c r="LQP127" s="5"/>
      <c r="LQQ127" s="5"/>
      <c r="LQR127" s="5"/>
      <c r="LQS127" s="5"/>
      <c r="LQT127" s="5"/>
      <c r="LQU127" s="5"/>
      <c r="LQV127" s="5"/>
      <c r="LQW127" s="5"/>
      <c r="LQX127" s="5"/>
      <c r="LQY127" s="5"/>
      <c r="LQZ127" s="5"/>
      <c r="LRA127" s="5"/>
      <c r="LRB127" s="5"/>
      <c r="LRC127" s="5"/>
      <c r="LRD127" s="5"/>
      <c r="LRE127" s="5"/>
      <c r="LRF127" s="5"/>
      <c r="LRG127" s="5"/>
      <c r="LRH127" s="5"/>
      <c r="LRI127" s="5"/>
      <c r="LRJ127" s="5"/>
      <c r="LRK127" s="5"/>
      <c r="LRL127" s="5"/>
      <c r="LRM127" s="5"/>
      <c r="LRN127" s="5"/>
      <c r="LRO127" s="5"/>
      <c r="LRP127" s="5"/>
      <c r="LRQ127" s="5"/>
      <c r="LRR127" s="5"/>
      <c r="LRS127" s="5"/>
      <c r="LRT127" s="5"/>
      <c r="LRU127" s="5"/>
      <c r="LRV127" s="5"/>
      <c r="LRW127" s="5"/>
      <c r="LRX127" s="5"/>
      <c r="LRY127" s="5"/>
      <c r="LRZ127" s="5"/>
      <c r="LSA127" s="5"/>
      <c r="LSB127" s="5"/>
      <c r="LSC127" s="5"/>
      <c r="LSD127" s="5"/>
      <c r="LSE127" s="5"/>
      <c r="LSF127" s="5"/>
      <c r="LSG127" s="5"/>
      <c r="LSH127" s="5"/>
      <c r="LSI127" s="5"/>
      <c r="LSJ127" s="5"/>
      <c r="LSK127" s="5"/>
      <c r="LSL127" s="5"/>
      <c r="LSM127" s="5"/>
      <c r="LSN127" s="5"/>
      <c r="LSO127" s="5"/>
      <c r="LSP127" s="5"/>
      <c r="LSQ127" s="5"/>
      <c r="LSR127" s="5"/>
      <c r="LSS127" s="5"/>
      <c r="LST127" s="5"/>
      <c r="LSU127" s="5"/>
      <c r="LSV127" s="5"/>
      <c r="LSW127" s="5"/>
      <c r="LSX127" s="5"/>
      <c r="LSY127" s="5"/>
      <c r="LSZ127" s="5"/>
      <c r="LTA127" s="5"/>
      <c r="LTB127" s="5"/>
      <c r="LTC127" s="5"/>
      <c r="LTD127" s="5"/>
      <c r="LTE127" s="5"/>
      <c r="LTF127" s="5"/>
      <c r="LTG127" s="5"/>
      <c r="LTH127" s="5"/>
      <c r="LTI127" s="5"/>
      <c r="LTJ127" s="5"/>
      <c r="LTK127" s="5"/>
      <c r="LTL127" s="5"/>
      <c r="LTM127" s="5"/>
      <c r="LTN127" s="5"/>
      <c r="LTO127" s="5"/>
      <c r="LTP127" s="5"/>
      <c r="LTQ127" s="5"/>
      <c r="LTR127" s="5"/>
      <c r="LTS127" s="5"/>
      <c r="LTT127" s="5"/>
      <c r="LTU127" s="5"/>
      <c r="LTV127" s="5"/>
      <c r="LTW127" s="5"/>
      <c r="LTX127" s="5"/>
      <c r="LTY127" s="5"/>
      <c r="LTZ127" s="5"/>
      <c r="LUA127" s="5"/>
      <c r="LUB127" s="5"/>
      <c r="LUC127" s="5"/>
      <c r="LUD127" s="5"/>
      <c r="LUE127" s="5"/>
      <c r="LUF127" s="5"/>
      <c r="LUG127" s="5"/>
      <c r="LUH127" s="5"/>
      <c r="LUI127" s="5"/>
      <c r="LUJ127" s="5"/>
      <c r="LUK127" s="5"/>
      <c r="LUL127" s="5"/>
      <c r="LUM127" s="5"/>
      <c r="LUN127" s="5"/>
      <c r="LUO127" s="5"/>
      <c r="LUP127" s="5"/>
      <c r="LUQ127" s="5"/>
      <c r="LUR127" s="5"/>
      <c r="LUS127" s="5"/>
      <c r="LUT127" s="5"/>
      <c r="LUU127" s="5"/>
      <c r="LUV127" s="5"/>
      <c r="LUW127" s="5"/>
      <c r="LUX127" s="5"/>
      <c r="LUY127" s="5"/>
      <c r="LUZ127" s="5"/>
      <c r="LVA127" s="5"/>
      <c r="LVB127" s="5"/>
      <c r="LVC127" s="5"/>
      <c r="LVD127" s="5"/>
      <c r="LVE127" s="5"/>
      <c r="LVF127" s="5"/>
      <c r="LVG127" s="5"/>
      <c r="LVH127" s="5"/>
      <c r="LVI127" s="5"/>
      <c r="LVJ127" s="5"/>
      <c r="LVK127" s="5"/>
      <c r="LVL127" s="5"/>
      <c r="LVM127" s="5"/>
      <c r="LVN127" s="5"/>
      <c r="LVO127" s="5"/>
      <c r="LVP127" s="5"/>
      <c r="LVQ127" s="5"/>
      <c r="LVR127" s="5"/>
      <c r="LVS127" s="5"/>
      <c r="LVT127" s="5"/>
      <c r="LVU127" s="5"/>
      <c r="LVV127" s="5"/>
      <c r="LVW127" s="5"/>
      <c r="LVX127" s="5"/>
      <c r="LVY127" s="5"/>
      <c r="LVZ127" s="5"/>
      <c r="LWA127" s="5"/>
      <c r="LWB127" s="5"/>
      <c r="LWC127" s="5"/>
      <c r="LWD127" s="5"/>
      <c r="LWE127" s="5"/>
      <c r="LWF127" s="5"/>
      <c r="LWG127" s="5"/>
      <c r="LWH127" s="5"/>
      <c r="LWI127" s="5"/>
      <c r="LWJ127" s="5"/>
      <c r="LWK127" s="5"/>
      <c r="LWL127" s="5"/>
      <c r="LWM127" s="5"/>
      <c r="LWN127" s="5"/>
      <c r="LWO127" s="5"/>
      <c r="LWP127" s="5"/>
      <c r="LWQ127" s="5"/>
      <c r="LWR127" s="5"/>
      <c r="LWS127" s="5"/>
      <c r="LWT127" s="5"/>
      <c r="LWU127" s="5"/>
      <c r="LWV127" s="5"/>
      <c r="LWW127" s="5"/>
      <c r="LWX127" s="5"/>
      <c r="LWY127" s="5"/>
      <c r="LWZ127" s="5"/>
      <c r="LXA127" s="5"/>
      <c r="LXB127" s="5"/>
      <c r="LXC127" s="5"/>
      <c r="LXD127" s="5"/>
      <c r="LXE127" s="5"/>
      <c r="LXF127" s="5"/>
      <c r="LXG127" s="5"/>
      <c r="LXH127" s="5"/>
      <c r="LXI127" s="5"/>
      <c r="LXJ127" s="5"/>
      <c r="LXK127" s="5"/>
      <c r="LXL127" s="5"/>
      <c r="LXM127" s="5"/>
      <c r="LXN127" s="5"/>
      <c r="LXO127" s="5"/>
      <c r="LXP127" s="5"/>
      <c r="LXQ127" s="5"/>
      <c r="LXR127" s="5"/>
      <c r="LXS127" s="5"/>
      <c r="LXT127" s="5"/>
      <c r="LXU127" s="5"/>
      <c r="LXV127" s="5"/>
      <c r="LXW127" s="5"/>
      <c r="LXX127" s="5"/>
      <c r="LXY127" s="5"/>
      <c r="LXZ127" s="5"/>
      <c r="LYA127" s="5"/>
      <c r="LYB127" s="5"/>
      <c r="LYC127" s="5"/>
      <c r="LYD127" s="5"/>
      <c r="LYE127" s="5"/>
      <c r="LYF127" s="5"/>
      <c r="LYG127" s="5"/>
      <c r="LYH127" s="5"/>
      <c r="LYI127" s="5"/>
      <c r="LYJ127" s="5"/>
      <c r="LYK127" s="5"/>
      <c r="LYL127" s="5"/>
      <c r="LYM127" s="5"/>
      <c r="LYN127" s="5"/>
      <c r="LYO127" s="5"/>
      <c r="LYP127" s="5"/>
      <c r="LYQ127" s="5"/>
      <c r="LYR127" s="5"/>
      <c r="LYS127" s="5"/>
      <c r="LYT127" s="5"/>
      <c r="LYU127" s="5"/>
      <c r="LYV127" s="5"/>
      <c r="LYW127" s="5"/>
      <c r="LYX127" s="5"/>
      <c r="LYY127" s="5"/>
      <c r="LYZ127" s="5"/>
      <c r="LZA127" s="5"/>
      <c r="LZB127" s="5"/>
      <c r="LZC127" s="5"/>
      <c r="LZD127" s="5"/>
      <c r="LZE127" s="5"/>
      <c r="LZF127" s="5"/>
      <c r="LZG127" s="5"/>
      <c r="LZH127" s="5"/>
      <c r="LZI127" s="5"/>
      <c r="LZJ127" s="5"/>
      <c r="LZK127" s="5"/>
      <c r="LZL127" s="5"/>
      <c r="LZM127" s="5"/>
      <c r="LZN127" s="5"/>
      <c r="LZO127" s="5"/>
      <c r="LZP127" s="5"/>
      <c r="LZQ127" s="5"/>
      <c r="LZR127" s="5"/>
      <c r="LZS127" s="5"/>
      <c r="LZT127" s="5"/>
      <c r="LZU127" s="5"/>
      <c r="LZV127" s="5"/>
      <c r="LZW127" s="5"/>
      <c r="LZX127" s="5"/>
      <c r="LZY127" s="5"/>
      <c r="LZZ127" s="5"/>
      <c r="MAA127" s="5"/>
      <c r="MAB127" s="5"/>
      <c r="MAC127" s="5"/>
      <c r="MAD127" s="5"/>
      <c r="MAE127" s="5"/>
      <c r="MAF127" s="5"/>
      <c r="MAG127" s="5"/>
      <c r="MAH127" s="5"/>
      <c r="MAI127" s="5"/>
      <c r="MAJ127" s="5"/>
      <c r="MAK127" s="5"/>
      <c r="MAL127" s="5"/>
      <c r="MAM127" s="5"/>
      <c r="MAN127" s="5"/>
      <c r="MAO127" s="5"/>
      <c r="MAP127" s="5"/>
      <c r="MAQ127" s="5"/>
      <c r="MAR127" s="5"/>
      <c r="MAS127" s="5"/>
      <c r="MAT127" s="5"/>
      <c r="MAU127" s="5"/>
      <c r="MAV127" s="5"/>
      <c r="MAW127" s="5"/>
      <c r="MAX127" s="5"/>
      <c r="MAY127" s="5"/>
      <c r="MAZ127" s="5"/>
      <c r="MBA127" s="5"/>
      <c r="MBB127" s="5"/>
      <c r="MBC127" s="5"/>
      <c r="MBD127" s="5"/>
      <c r="MBE127" s="5"/>
      <c r="MBF127" s="5"/>
      <c r="MBG127" s="5"/>
      <c r="MBH127" s="5"/>
      <c r="MBI127" s="5"/>
      <c r="MBJ127" s="5"/>
      <c r="MBK127" s="5"/>
      <c r="MBL127" s="5"/>
      <c r="MBM127" s="5"/>
      <c r="MBN127" s="5"/>
      <c r="MBO127" s="5"/>
      <c r="MBP127" s="5"/>
      <c r="MBQ127" s="5"/>
      <c r="MBR127" s="5"/>
      <c r="MBS127" s="5"/>
      <c r="MBT127" s="5"/>
      <c r="MBU127" s="5"/>
      <c r="MBV127" s="5"/>
      <c r="MBW127" s="5"/>
      <c r="MBX127" s="5"/>
      <c r="MBY127" s="5"/>
      <c r="MBZ127" s="5"/>
      <c r="MCA127" s="5"/>
      <c r="MCB127" s="5"/>
      <c r="MCC127" s="5"/>
      <c r="MCD127" s="5"/>
      <c r="MCE127" s="5"/>
      <c r="MCF127" s="5"/>
      <c r="MCG127" s="5"/>
      <c r="MCH127" s="5"/>
      <c r="MCI127" s="5"/>
      <c r="MCJ127" s="5"/>
      <c r="MCK127" s="5"/>
      <c r="MCL127" s="5"/>
      <c r="MCM127" s="5"/>
      <c r="MCN127" s="5"/>
      <c r="MCO127" s="5"/>
      <c r="MCP127" s="5"/>
      <c r="MCQ127" s="5"/>
      <c r="MCR127" s="5"/>
      <c r="MCS127" s="5"/>
      <c r="MCT127" s="5"/>
      <c r="MCU127" s="5"/>
      <c r="MCV127" s="5"/>
      <c r="MCW127" s="5"/>
      <c r="MCX127" s="5"/>
      <c r="MCY127" s="5"/>
      <c r="MCZ127" s="5"/>
      <c r="MDA127" s="5"/>
      <c r="MDB127" s="5"/>
      <c r="MDC127" s="5"/>
      <c r="MDD127" s="5"/>
      <c r="MDE127" s="5"/>
      <c r="MDF127" s="5"/>
      <c r="MDG127" s="5"/>
      <c r="MDH127" s="5"/>
      <c r="MDI127" s="5"/>
      <c r="MDJ127" s="5"/>
      <c r="MDK127" s="5"/>
      <c r="MDL127" s="5"/>
      <c r="MDM127" s="5"/>
      <c r="MDN127" s="5"/>
      <c r="MDO127" s="5"/>
      <c r="MDP127" s="5"/>
      <c r="MDQ127" s="5"/>
      <c r="MDR127" s="5"/>
      <c r="MDS127" s="5"/>
      <c r="MDT127" s="5"/>
      <c r="MDU127" s="5"/>
      <c r="MDV127" s="5"/>
      <c r="MDW127" s="5"/>
      <c r="MDX127" s="5"/>
      <c r="MDY127" s="5"/>
      <c r="MDZ127" s="5"/>
      <c r="MEA127" s="5"/>
      <c r="MEB127" s="5"/>
      <c r="MEC127" s="5"/>
      <c r="MED127" s="5"/>
      <c r="MEE127" s="5"/>
      <c r="MEF127" s="5"/>
      <c r="MEG127" s="5"/>
      <c r="MEH127" s="5"/>
      <c r="MEI127" s="5"/>
      <c r="MEJ127" s="5"/>
      <c r="MEK127" s="5"/>
      <c r="MEL127" s="5"/>
      <c r="MEM127" s="5"/>
      <c r="MEN127" s="5"/>
      <c r="MEO127" s="5"/>
      <c r="MEP127" s="5"/>
      <c r="MEQ127" s="5"/>
      <c r="MER127" s="5"/>
      <c r="MES127" s="5"/>
      <c r="MET127" s="5"/>
      <c r="MEU127" s="5"/>
      <c r="MEV127" s="5"/>
      <c r="MEW127" s="5"/>
      <c r="MEX127" s="5"/>
      <c r="MEY127" s="5"/>
      <c r="MEZ127" s="5"/>
      <c r="MFA127" s="5"/>
      <c r="MFB127" s="5"/>
      <c r="MFC127" s="5"/>
      <c r="MFD127" s="5"/>
      <c r="MFE127" s="5"/>
      <c r="MFF127" s="5"/>
      <c r="MFG127" s="5"/>
      <c r="MFH127" s="5"/>
      <c r="MFI127" s="5"/>
      <c r="MFJ127" s="5"/>
      <c r="MFK127" s="5"/>
      <c r="MFL127" s="5"/>
      <c r="MFM127" s="5"/>
      <c r="MFN127" s="5"/>
      <c r="MFO127" s="5"/>
      <c r="MFP127" s="5"/>
      <c r="MFQ127" s="5"/>
      <c r="MFR127" s="5"/>
      <c r="MFS127" s="5"/>
      <c r="MFT127" s="5"/>
      <c r="MFU127" s="5"/>
      <c r="MFV127" s="5"/>
      <c r="MFW127" s="5"/>
      <c r="MFX127" s="5"/>
      <c r="MFY127" s="5"/>
      <c r="MFZ127" s="5"/>
      <c r="MGA127" s="5"/>
      <c r="MGB127" s="5"/>
      <c r="MGC127" s="5"/>
      <c r="MGD127" s="5"/>
      <c r="MGE127" s="5"/>
      <c r="MGF127" s="5"/>
      <c r="MGG127" s="5"/>
      <c r="MGH127" s="5"/>
      <c r="MGI127" s="5"/>
      <c r="MGJ127" s="5"/>
      <c r="MGK127" s="5"/>
      <c r="MGL127" s="5"/>
      <c r="MGM127" s="5"/>
      <c r="MGN127" s="5"/>
      <c r="MGO127" s="5"/>
      <c r="MGP127" s="5"/>
      <c r="MGQ127" s="5"/>
      <c r="MGR127" s="5"/>
      <c r="MGS127" s="5"/>
      <c r="MGT127" s="5"/>
      <c r="MGU127" s="5"/>
      <c r="MGV127" s="5"/>
      <c r="MGW127" s="5"/>
      <c r="MGX127" s="5"/>
      <c r="MGY127" s="5"/>
      <c r="MGZ127" s="5"/>
      <c r="MHA127" s="5"/>
      <c r="MHB127" s="5"/>
      <c r="MHC127" s="5"/>
      <c r="MHD127" s="5"/>
      <c r="MHE127" s="5"/>
      <c r="MHF127" s="5"/>
      <c r="MHG127" s="5"/>
      <c r="MHH127" s="5"/>
      <c r="MHI127" s="5"/>
      <c r="MHJ127" s="5"/>
      <c r="MHK127" s="5"/>
      <c r="MHL127" s="5"/>
      <c r="MHM127" s="5"/>
      <c r="MHN127" s="5"/>
      <c r="MHO127" s="5"/>
      <c r="MHP127" s="5"/>
      <c r="MHQ127" s="5"/>
      <c r="MHR127" s="5"/>
      <c r="MHS127" s="5"/>
      <c r="MHT127" s="5"/>
      <c r="MHU127" s="5"/>
      <c r="MHV127" s="5"/>
      <c r="MHW127" s="5"/>
      <c r="MHX127" s="5"/>
      <c r="MHY127" s="5"/>
      <c r="MHZ127" s="5"/>
      <c r="MIA127" s="5"/>
      <c r="MIB127" s="5"/>
      <c r="MIC127" s="5"/>
      <c r="MID127" s="5"/>
      <c r="MIE127" s="5"/>
      <c r="MIF127" s="5"/>
      <c r="MIG127" s="5"/>
      <c r="MIH127" s="5"/>
      <c r="MII127" s="5"/>
      <c r="MIJ127" s="5"/>
      <c r="MIK127" s="5"/>
      <c r="MIL127" s="5"/>
      <c r="MIM127" s="5"/>
      <c r="MIN127" s="5"/>
      <c r="MIO127" s="5"/>
      <c r="MIP127" s="5"/>
      <c r="MIQ127" s="5"/>
      <c r="MIR127" s="5"/>
      <c r="MIS127" s="5"/>
      <c r="MIT127" s="5"/>
      <c r="MIU127" s="5"/>
      <c r="MIV127" s="5"/>
      <c r="MIW127" s="5"/>
      <c r="MIX127" s="5"/>
      <c r="MIY127" s="5"/>
      <c r="MIZ127" s="5"/>
      <c r="MJA127" s="5"/>
      <c r="MJB127" s="5"/>
      <c r="MJC127" s="5"/>
      <c r="MJD127" s="5"/>
      <c r="MJE127" s="5"/>
      <c r="MJF127" s="5"/>
      <c r="MJG127" s="5"/>
      <c r="MJH127" s="5"/>
      <c r="MJI127" s="5"/>
      <c r="MJJ127" s="5"/>
      <c r="MJK127" s="5"/>
      <c r="MJL127" s="5"/>
      <c r="MJM127" s="5"/>
      <c r="MJN127" s="5"/>
      <c r="MJO127" s="5"/>
      <c r="MJP127" s="5"/>
      <c r="MJQ127" s="5"/>
      <c r="MJR127" s="5"/>
      <c r="MJS127" s="5"/>
      <c r="MJT127" s="5"/>
      <c r="MJU127" s="5"/>
      <c r="MJV127" s="5"/>
      <c r="MJW127" s="5"/>
      <c r="MJX127" s="5"/>
      <c r="MJY127" s="5"/>
      <c r="MJZ127" s="5"/>
      <c r="MKA127" s="5"/>
      <c r="MKB127" s="5"/>
      <c r="MKC127" s="5"/>
      <c r="MKD127" s="5"/>
      <c r="MKE127" s="5"/>
      <c r="MKF127" s="5"/>
      <c r="MKG127" s="5"/>
      <c r="MKH127" s="5"/>
      <c r="MKI127" s="5"/>
      <c r="MKJ127" s="5"/>
      <c r="MKK127" s="5"/>
      <c r="MKL127" s="5"/>
      <c r="MKM127" s="5"/>
      <c r="MKN127" s="5"/>
      <c r="MKO127" s="5"/>
      <c r="MKP127" s="5"/>
      <c r="MKQ127" s="5"/>
      <c r="MKR127" s="5"/>
      <c r="MKS127" s="5"/>
      <c r="MKT127" s="5"/>
      <c r="MKU127" s="5"/>
      <c r="MKV127" s="5"/>
      <c r="MKW127" s="5"/>
      <c r="MKX127" s="5"/>
      <c r="MKY127" s="5"/>
      <c r="MKZ127" s="5"/>
      <c r="MLA127" s="5"/>
      <c r="MLB127" s="5"/>
      <c r="MLC127" s="5"/>
      <c r="MLD127" s="5"/>
      <c r="MLE127" s="5"/>
      <c r="MLF127" s="5"/>
      <c r="MLG127" s="5"/>
      <c r="MLH127" s="5"/>
      <c r="MLI127" s="5"/>
      <c r="MLJ127" s="5"/>
      <c r="MLK127" s="5"/>
      <c r="MLL127" s="5"/>
      <c r="MLM127" s="5"/>
      <c r="MLN127" s="5"/>
      <c r="MLO127" s="5"/>
      <c r="MLP127" s="5"/>
      <c r="MLQ127" s="5"/>
      <c r="MLR127" s="5"/>
      <c r="MLS127" s="5"/>
      <c r="MLT127" s="5"/>
      <c r="MLU127" s="5"/>
      <c r="MLV127" s="5"/>
      <c r="MLW127" s="5"/>
      <c r="MLX127" s="5"/>
      <c r="MLY127" s="5"/>
      <c r="MLZ127" s="5"/>
      <c r="MMA127" s="5"/>
      <c r="MMB127" s="5"/>
      <c r="MMC127" s="5"/>
      <c r="MMD127" s="5"/>
      <c r="MME127" s="5"/>
      <c r="MMF127" s="5"/>
      <c r="MMG127" s="5"/>
      <c r="MMH127" s="5"/>
      <c r="MMI127" s="5"/>
      <c r="MMJ127" s="5"/>
      <c r="MMK127" s="5"/>
      <c r="MML127" s="5"/>
      <c r="MMM127" s="5"/>
      <c r="MMN127" s="5"/>
      <c r="MMO127" s="5"/>
      <c r="MMP127" s="5"/>
      <c r="MMQ127" s="5"/>
      <c r="MMR127" s="5"/>
      <c r="MMS127" s="5"/>
      <c r="MMT127" s="5"/>
      <c r="MMU127" s="5"/>
      <c r="MMV127" s="5"/>
      <c r="MMW127" s="5"/>
      <c r="MMX127" s="5"/>
      <c r="MMY127" s="5"/>
      <c r="MMZ127" s="5"/>
      <c r="MNA127" s="5"/>
      <c r="MNB127" s="5"/>
      <c r="MNC127" s="5"/>
      <c r="MND127" s="5"/>
      <c r="MNE127" s="5"/>
      <c r="MNF127" s="5"/>
      <c r="MNG127" s="5"/>
      <c r="MNH127" s="5"/>
      <c r="MNI127" s="5"/>
      <c r="MNJ127" s="5"/>
      <c r="MNK127" s="5"/>
      <c r="MNL127" s="5"/>
      <c r="MNM127" s="5"/>
      <c r="MNN127" s="5"/>
      <c r="MNO127" s="5"/>
      <c r="MNP127" s="5"/>
      <c r="MNQ127" s="5"/>
      <c r="MNR127" s="5"/>
      <c r="MNS127" s="5"/>
      <c r="MNT127" s="5"/>
      <c r="MNU127" s="5"/>
      <c r="MNV127" s="5"/>
      <c r="MNW127" s="5"/>
      <c r="MNX127" s="5"/>
      <c r="MNY127" s="5"/>
      <c r="MNZ127" s="5"/>
      <c r="MOA127" s="5"/>
      <c r="MOB127" s="5"/>
      <c r="MOC127" s="5"/>
      <c r="MOD127" s="5"/>
      <c r="MOE127" s="5"/>
      <c r="MOF127" s="5"/>
      <c r="MOG127" s="5"/>
      <c r="MOH127" s="5"/>
      <c r="MOI127" s="5"/>
      <c r="MOJ127" s="5"/>
      <c r="MOK127" s="5"/>
      <c r="MOL127" s="5"/>
      <c r="MOM127" s="5"/>
      <c r="MON127" s="5"/>
      <c r="MOO127" s="5"/>
      <c r="MOP127" s="5"/>
      <c r="MOQ127" s="5"/>
      <c r="MOR127" s="5"/>
      <c r="MOS127" s="5"/>
      <c r="MOT127" s="5"/>
      <c r="MOU127" s="5"/>
      <c r="MOV127" s="5"/>
      <c r="MOW127" s="5"/>
      <c r="MOX127" s="5"/>
      <c r="MOY127" s="5"/>
      <c r="MOZ127" s="5"/>
      <c r="MPA127" s="5"/>
      <c r="MPB127" s="5"/>
      <c r="MPC127" s="5"/>
      <c r="MPD127" s="5"/>
      <c r="MPE127" s="5"/>
      <c r="MPF127" s="5"/>
      <c r="MPG127" s="5"/>
      <c r="MPH127" s="5"/>
      <c r="MPI127" s="5"/>
      <c r="MPJ127" s="5"/>
      <c r="MPK127" s="5"/>
      <c r="MPL127" s="5"/>
      <c r="MPM127" s="5"/>
      <c r="MPN127" s="5"/>
      <c r="MPO127" s="5"/>
      <c r="MPP127" s="5"/>
      <c r="MPQ127" s="5"/>
      <c r="MPR127" s="5"/>
      <c r="MPS127" s="5"/>
      <c r="MPT127" s="5"/>
      <c r="MPU127" s="5"/>
      <c r="MPV127" s="5"/>
      <c r="MPW127" s="5"/>
      <c r="MPX127" s="5"/>
      <c r="MPY127" s="5"/>
      <c r="MPZ127" s="5"/>
      <c r="MQA127" s="5"/>
      <c r="MQB127" s="5"/>
      <c r="MQC127" s="5"/>
      <c r="MQD127" s="5"/>
      <c r="MQE127" s="5"/>
      <c r="MQF127" s="5"/>
      <c r="MQG127" s="5"/>
      <c r="MQH127" s="5"/>
      <c r="MQI127" s="5"/>
      <c r="MQJ127" s="5"/>
      <c r="MQK127" s="5"/>
      <c r="MQL127" s="5"/>
      <c r="MQM127" s="5"/>
      <c r="MQN127" s="5"/>
      <c r="MQO127" s="5"/>
      <c r="MQP127" s="5"/>
      <c r="MQQ127" s="5"/>
      <c r="MQR127" s="5"/>
      <c r="MQS127" s="5"/>
      <c r="MQT127" s="5"/>
      <c r="MQU127" s="5"/>
      <c r="MQV127" s="5"/>
      <c r="MQW127" s="5"/>
      <c r="MQX127" s="5"/>
      <c r="MQY127" s="5"/>
      <c r="MQZ127" s="5"/>
      <c r="MRA127" s="5"/>
      <c r="MRB127" s="5"/>
      <c r="MRC127" s="5"/>
      <c r="MRD127" s="5"/>
      <c r="MRE127" s="5"/>
      <c r="MRF127" s="5"/>
      <c r="MRG127" s="5"/>
      <c r="MRH127" s="5"/>
      <c r="MRI127" s="5"/>
      <c r="MRJ127" s="5"/>
      <c r="MRK127" s="5"/>
      <c r="MRL127" s="5"/>
      <c r="MRM127" s="5"/>
      <c r="MRN127" s="5"/>
      <c r="MRO127" s="5"/>
      <c r="MRP127" s="5"/>
      <c r="MRQ127" s="5"/>
      <c r="MRR127" s="5"/>
      <c r="MRS127" s="5"/>
      <c r="MRT127" s="5"/>
      <c r="MRU127" s="5"/>
      <c r="MRV127" s="5"/>
      <c r="MRW127" s="5"/>
      <c r="MRX127" s="5"/>
      <c r="MRY127" s="5"/>
      <c r="MRZ127" s="5"/>
      <c r="MSA127" s="5"/>
      <c r="MSB127" s="5"/>
      <c r="MSC127" s="5"/>
      <c r="MSD127" s="5"/>
      <c r="MSE127" s="5"/>
      <c r="MSF127" s="5"/>
      <c r="MSG127" s="5"/>
      <c r="MSH127" s="5"/>
      <c r="MSI127" s="5"/>
      <c r="MSJ127" s="5"/>
      <c r="MSK127" s="5"/>
      <c r="MSL127" s="5"/>
      <c r="MSM127" s="5"/>
      <c r="MSN127" s="5"/>
      <c r="MSO127" s="5"/>
      <c r="MSP127" s="5"/>
      <c r="MSQ127" s="5"/>
      <c r="MSR127" s="5"/>
      <c r="MSS127" s="5"/>
      <c r="MST127" s="5"/>
      <c r="MSU127" s="5"/>
      <c r="MSV127" s="5"/>
      <c r="MSW127" s="5"/>
      <c r="MSX127" s="5"/>
      <c r="MSY127" s="5"/>
      <c r="MSZ127" s="5"/>
      <c r="MTA127" s="5"/>
      <c r="MTB127" s="5"/>
      <c r="MTC127" s="5"/>
      <c r="MTD127" s="5"/>
      <c r="MTE127" s="5"/>
      <c r="MTF127" s="5"/>
      <c r="MTG127" s="5"/>
      <c r="MTH127" s="5"/>
      <c r="MTI127" s="5"/>
      <c r="MTJ127" s="5"/>
      <c r="MTK127" s="5"/>
      <c r="MTL127" s="5"/>
      <c r="MTM127" s="5"/>
      <c r="MTN127" s="5"/>
      <c r="MTO127" s="5"/>
      <c r="MTP127" s="5"/>
      <c r="MTQ127" s="5"/>
      <c r="MTR127" s="5"/>
      <c r="MTS127" s="5"/>
      <c r="MTT127" s="5"/>
      <c r="MTU127" s="5"/>
      <c r="MTV127" s="5"/>
      <c r="MTW127" s="5"/>
      <c r="MTX127" s="5"/>
      <c r="MTY127" s="5"/>
      <c r="MTZ127" s="5"/>
      <c r="MUA127" s="5"/>
      <c r="MUB127" s="5"/>
      <c r="MUC127" s="5"/>
      <c r="MUD127" s="5"/>
      <c r="MUE127" s="5"/>
      <c r="MUF127" s="5"/>
      <c r="MUG127" s="5"/>
      <c r="MUH127" s="5"/>
      <c r="MUI127" s="5"/>
      <c r="MUJ127" s="5"/>
      <c r="MUK127" s="5"/>
      <c r="MUL127" s="5"/>
      <c r="MUM127" s="5"/>
      <c r="MUN127" s="5"/>
      <c r="MUO127" s="5"/>
      <c r="MUP127" s="5"/>
      <c r="MUQ127" s="5"/>
      <c r="MUR127" s="5"/>
      <c r="MUS127" s="5"/>
      <c r="MUT127" s="5"/>
      <c r="MUU127" s="5"/>
      <c r="MUV127" s="5"/>
      <c r="MUW127" s="5"/>
      <c r="MUX127" s="5"/>
      <c r="MUY127" s="5"/>
      <c r="MUZ127" s="5"/>
      <c r="MVA127" s="5"/>
      <c r="MVB127" s="5"/>
      <c r="MVC127" s="5"/>
      <c r="MVD127" s="5"/>
      <c r="MVE127" s="5"/>
      <c r="MVF127" s="5"/>
      <c r="MVG127" s="5"/>
      <c r="MVH127" s="5"/>
      <c r="MVI127" s="5"/>
      <c r="MVJ127" s="5"/>
      <c r="MVK127" s="5"/>
      <c r="MVL127" s="5"/>
      <c r="MVM127" s="5"/>
      <c r="MVN127" s="5"/>
      <c r="MVO127" s="5"/>
      <c r="MVP127" s="5"/>
      <c r="MVQ127" s="5"/>
      <c r="MVR127" s="5"/>
      <c r="MVS127" s="5"/>
      <c r="MVT127" s="5"/>
      <c r="MVU127" s="5"/>
      <c r="MVV127" s="5"/>
      <c r="MVW127" s="5"/>
      <c r="MVX127" s="5"/>
      <c r="MVY127" s="5"/>
      <c r="MVZ127" s="5"/>
      <c r="MWA127" s="5"/>
      <c r="MWB127" s="5"/>
      <c r="MWC127" s="5"/>
      <c r="MWD127" s="5"/>
      <c r="MWE127" s="5"/>
      <c r="MWF127" s="5"/>
      <c r="MWG127" s="5"/>
      <c r="MWH127" s="5"/>
      <c r="MWI127" s="5"/>
      <c r="MWJ127" s="5"/>
      <c r="MWK127" s="5"/>
      <c r="MWL127" s="5"/>
      <c r="MWM127" s="5"/>
      <c r="MWN127" s="5"/>
      <c r="MWO127" s="5"/>
      <c r="MWP127" s="5"/>
      <c r="MWQ127" s="5"/>
      <c r="MWR127" s="5"/>
      <c r="MWS127" s="5"/>
      <c r="MWT127" s="5"/>
      <c r="MWU127" s="5"/>
      <c r="MWV127" s="5"/>
      <c r="MWW127" s="5"/>
      <c r="MWX127" s="5"/>
      <c r="MWY127" s="5"/>
      <c r="MWZ127" s="5"/>
      <c r="MXA127" s="5"/>
      <c r="MXB127" s="5"/>
      <c r="MXC127" s="5"/>
      <c r="MXD127" s="5"/>
      <c r="MXE127" s="5"/>
      <c r="MXF127" s="5"/>
      <c r="MXG127" s="5"/>
      <c r="MXH127" s="5"/>
      <c r="MXI127" s="5"/>
      <c r="MXJ127" s="5"/>
      <c r="MXK127" s="5"/>
      <c r="MXL127" s="5"/>
      <c r="MXM127" s="5"/>
      <c r="MXN127" s="5"/>
      <c r="MXO127" s="5"/>
      <c r="MXP127" s="5"/>
      <c r="MXQ127" s="5"/>
      <c r="MXR127" s="5"/>
      <c r="MXS127" s="5"/>
      <c r="MXT127" s="5"/>
      <c r="MXU127" s="5"/>
      <c r="MXV127" s="5"/>
      <c r="MXW127" s="5"/>
      <c r="MXX127" s="5"/>
      <c r="MXY127" s="5"/>
      <c r="MXZ127" s="5"/>
      <c r="MYA127" s="5"/>
      <c r="MYB127" s="5"/>
      <c r="MYC127" s="5"/>
      <c r="MYD127" s="5"/>
      <c r="MYE127" s="5"/>
      <c r="MYF127" s="5"/>
      <c r="MYG127" s="5"/>
      <c r="MYH127" s="5"/>
      <c r="MYI127" s="5"/>
      <c r="MYJ127" s="5"/>
      <c r="MYK127" s="5"/>
      <c r="MYL127" s="5"/>
      <c r="MYM127" s="5"/>
      <c r="MYN127" s="5"/>
      <c r="MYO127" s="5"/>
      <c r="MYP127" s="5"/>
      <c r="MYQ127" s="5"/>
      <c r="MYR127" s="5"/>
      <c r="MYS127" s="5"/>
      <c r="MYT127" s="5"/>
      <c r="MYU127" s="5"/>
      <c r="MYV127" s="5"/>
      <c r="MYW127" s="5"/>
      <c r="MYX127" s="5"/>
      <c r="MYY127" s="5"/>
      <c r="MYZ127" s="5"/>
      <c r="MZA127" s="5"/>
      <c r="MZB127" s="5"/>
      <c r="MZC127" s="5"/>
      <c r="MZD127" s="5"/>
      <c r="MZE127" s="5"/>
      <c r="MZF127" s="5"/>
      <c r="MZG127" s="5"/>
      <c r="MZH127" s="5"/>
      <c r="MZI127" s="5"/>
      <c r="MZJ127" s="5"/>
      <c r="MZK127" s="5"/>
      <c r="MZL127" s="5"/>
      <c r="MZM127" s="5"/>
      <c r="MZN127" s="5"/>
      <c r="MZO127" s="5"/>
      <c r="MZP127" s="5"/>
      <c r="MZQ127" s="5"/>
      <c r="MZR127" s="5"/>
      <c r="MZS127" s="5"/>
      <c r="MZT127" s="5"/>
      <c r="MZU127" s="5"/>
      <c r="MZV127" s="5"/>
      <c r="MZW127" s="5"/>
      <c r="MZX127" s="5"/>
      <c r="MZY127" s="5"/>
      <c r="MZZ127" s="5"/>
      <c r="NAA127" s="5"/>
      <c r="NAB127" s="5"/>
      <c r="NAC127" s="5"/>
      <c r="NAD127" s="5"/>
      <c r="NAE127" s="5"/>
      <c r="NAF127" s="5"/>
      <c r="NAG127" s="5"/>
      <c r="NAH127" s="5"/>
      <c r="NAI127" s="5"/>
      <c r="NAJ127" s="5"/>
      <c r="NAK127" s="5"/>
      <c r="NAL127" s="5"/>
      <c r="NAM127" s="5"/>
      <c r="NAN127" s="5"/>
      <c r="NAO127" s="5"/>
      <c r="NAP127" s="5"/>
      <c r="NAQ127" s="5"/>
      <c r="NAR127" s="5"/>
      <c r="NAS127" s="5"/>
      <c r="NAT127" s="5"/>
      <c r="NAU127" s="5"/>
      <c r="NAV127" s="5"/>
      <c r="NAW127" s="5"/>
      <c r="NAX127" s="5"/>
      <c r="NAY127" s="5"/>
      <c r="NAZ127" s="5"/>
      <c r="NBA127" s="5"/>
      <c r="NBB127" s="5"/>
      <c r="NBC127" s="5"/>
      <c r="NBD127" s="5"/>
      <c r="NBE127" s="5"/>
      <c r="NBF127" s="5"/>
      <c r="NBG127" s="5"/>
      <c r="NBH127" s="5"/>
      <c r="NBI127" s="5"/>
      <c r="NBJ127" s="5"/>
      <c r="NBK127" s="5"/>
      <c r="NBL127" s="5"/>
      <c r="NBM127" s="5"/>
      <c r="NBN127" s="5"/>
      <c r="NBO127" s="5"/>
      <c r="NBP127" s="5"/>
      <c r="NBQ127" s="5"/>
      <c r="NBR127" s="5"/>
      <c r="NBS127" s="5"/>
      <c r="NBT127" s="5"/>
      <c r="NBU127" s="5"/>
      <c r="NBV127" s="5"/>
      <c r="NBW127" s="5"/>
      <c r="NBX127" s="5"/>
      <c r="NBY127" s="5"/>
      <c r="NBZ127" s="5"/>
      <c r="NCA127" s="5"/>
      <c r="NCB127" s="5"/>
      <c r="NCC127" s="5"/>
      <c r="NCD127" s="5"/>
      <c r="NCE127" s="5"/>
      <c r="NCF127" s="5"/>
      <c r="NCG127" s="5"/>
      <c r="NCH127" s="5"/>
      <c r="NCI127" s="5"/>
      <c r="NCJ127" s="5"/>
      <c r="NCK127" s="5"/>
      <c r="NCL127" s="5"/>
      <c r="NCM127" s="5"/>
      <c r="NCN127" s="5"/>
      <c r="NCO127" s="5"/>
      <c r="NCP127" s="5"/>
      <c r="NCQ127" s="5"/>
      <c r="NCR127" s="5"/>
      <c r="NCS127" s="5"/>
      <c r="NCT127" s="5"/>
      <c r="NCU127" s="5"/>
      <c r="NCV127" s="5"/>
      <c r="NCW127" s="5"/>
      <c r="NCX127" s="5"/>
      <c r="NCY127" s="5"/>
      <c r="NCZ127" s="5"/>
      <c r="NDA127" s="5"/>
      <c r="NDB127" s="5"/>
      <c r="NDC127" s="5"/>
      <c r="NDD127" s="5"/>
      <c r="NDE127" s="5"/>
      <c r="NDF127" s="5"/>
      <c r="NDG127" s="5"/>
      <c r="NDH127" s="5"/>
      <c r="NDI127" s="5"/>
      <c r="NDJ127" s="5"/>
      <c r="NDK127" s="5"/>
      <c r="NDL127" s="5"/>
      <c r="NDM127" s="5"/>
      <c r="NDN127" s="5"/>
      <c r="NDO127" s="5"/>
      <c r="NDP127" s="5"/>
      <c r="NDQ127" s="5"/>
      <c r="NDR127" s="5"/>
      <c r="NDS127" s="5"/>
      <c r="NDT127" s="5"/>
      <c r="NDU127" s="5"/>
      <c r="NDV127" s="5"/>
      <c r="NDW127" s="5"/>
      <c r="NDX127" s="5"/>
      <c r="NDY127" s="5"/>
      <c r="NDZ127" s="5"/>
      <c r="NEA127" s="5"/>
      <c r="NEB127" s="5"/>
      <c r="NEC127" s="5"/>
      <c r="NED127" s="5"/>
      <c r="NEE127" s="5"/>
      <c r="NEF127" s="5"/>
      <c r="NEG127" s="5"/>
      <c r="NEH127" s="5"/>
      <c r="NEI127" s="5"/>
      <c r="NEJ127" s="5"/>
      <c r="NEK127" s="5"/>
      <c r="NEL127" s="5"/>
      <c r="NEM127" s="5"/>
      <c r="NEN127" s="5"/>
      <c r="NEO127" s="5"/>
      <c r="NEP127" s="5"/>
      <c r="NEQ127" s="5"/>
      <c r="NER127" s="5"/>
      <c r="NES127" s="5"/>
      <c r="NET127" s="5"/>
      <c r="NEU127" s="5"/>
      <c r="NEV127" s="5"/>
      <c r="NEW127" s="5"/>
      <c r="NEX127" s="5"/>
      <c r="NEY127" s="5"/>
      <c r="NEZ127" s="5"/>
      <c r="NFA127" s="5"/>
      <c r="NFB127" s="5"/>
      <c r="NFC127" s="5"/>
      <c r="NFD127" s="5"/>
      <c r="NFE127" s="5"/>
      <c r="NFF127" s="5"/>
      <c r="NFG127" s="5"/>
      <c r="NFH127" s="5"/>
      <c r="NFI127" s="5"/>
      <c r="NFJ127" s="5"/>
      <c r="NFK127" s="5"/>
      <c r="NFL127" s="5"/>
      <c r="NFM127" s="5"/>
      <c r="NFN127" s="5"/>
      <c r="NFO127" s="5"/>
      <c r="NFP127" s="5"/>
      <c r="NFQ127" s="5"/>
      <c r="NFR127" s="5"/>
      <c r="NFS127" s="5"/>
      <c r="NFT127" s="5"/>
      <c r="NFU127" s="5"/>
      <c r="NFV127" s="5"/>
      <c r="NFW127" s="5"/>
      <c r="NFX127" s="5"/>
      <c r="NFY127" s="5"/>
      <c r="NFZ127" s="5"/>
      <c r="NGA127" s="5"/>
      <c r="NGB127" s="5"/>
      <c r="NGC127" s="5"/>
      <c r="NGD127" s="5"/>
      <c r="NGE127" s="5"/>
      <c r="NGF127" s="5"/>
      <c r="NGG127" s="5"/>
      <c r="NGH127" s="5"/>
      <c r="NGI127" s="5"/>
      <c r="NGJ127" s="5"/>
      <c r="NGK127" s="5"/>
      <c r="NGL127" s="5"/>
      <c r="NGM127" s="5"/>
      <c r="NGN127" s="5"/>
      <c r="NGO127" s="5"/>
      <c r="NGP127" s="5"/>
      <c r="NGQ127" s="5"/>
      <c r="NGR127" s="5"/>
      <c r="NGS127" s="5"/>
      <c r="NGT127" s="5"/>
      <c r="NGU127" s="5"/>
      <c r="NGV127" s="5"/>
      <c r="NGW127" s="5"/>
      <c r="NGX127" s="5"/>
      <c r="NGY127" s="5"/>
      <c r="NGZ127" s="5"/>
      <c r="NHA127" s="5"/>
      <c r="NHB127" s="5"/>
      <c r="NHC127" s="5"/>
      <c r="NHD127" s="5"/>
      <c r="NHE127" s="5"/>
      <c r="NHF127" s="5"/>
      <c r="NHG127" s="5"/>
      <c r="NHH127" s="5"/>
      <c r="NHI127" s="5"/>
      <c r="NHJ127" s="5"/>
      <c r="NHK127" s="5"/>
      <c r="NHL127" s="5"/>
      <c r="NHM127" s="5"/>
      <c r="NHN127" s="5"/>
      <c r="NHO127" s="5"/>
      <c r="NHP127" s="5"/>
      <c r="NHQ127" s="5"/>
      <c r="NHR127" s="5"/>
      <c r="NHS127" s="5"/>
      <c r="NHT127" s="5"/>
      <c r="NHU127" s="5"/>
      <c r="NHV127" s="5"/>
      <c r="NHW127" s="5"/>
      <c r="NHX127" s="5"/>
      <c r="NHY127" s="5"/>
      <c r="NHZ127" s="5"/>
      <c r="NIA127" s="5"/>
      <c r="NIB127" s="5"/>
      <c r="NIC127" s="5"/>
      <c r="NID127" s="5"/>
      <c r="NIE127" s="5"/>
      <c r="NIF127" s="5"/>
      <c r="NIG127" s="5"/>
      <c r="NIH127" s="5"/>
      <c r="NII127" s="5"/>
      <c r="NIJ127" s="5"/>
      <c r="NIK127" s="5"/>
      <c r="NIL127" s="5"/>
      <c r="NIM127" s="5"/>
      <c r="NIN127" s="5"/>
      <c r="NIO127" s="5"/>
      <c r="NIP127" s="5"/>
      <c r="NIQ127" s="5"/>
      <c r="NIR127" s="5"/>
      <c r="NIS127" s="5"/>
      <c r="NIT127" s="5"/>
      <c r="NIU127" s="5"/>
      <c r="NIV127" s="5"/>
      <c r="NIW127" s="5"/>
      <c r="NIX127" s="5"/>
      <c r="NIY127" s="5"/>
      <c r="NIZ127" s="5"/>
      <c r="NJA127" s="5"/>
      <c r="NJB127" s="5"/>
      <c r="NJC127" s="5"/>
      <c r="NJD127" s="5"/>
      <c r="NJE127" s="5"/>
      <c r="NJF127" s="5"/>
      <c r="NJG127" s="5"/>
      <c r="NJH127" s="5"/>
      <c r="NJI127" s="5"/>
      <c r="NJJ127" s="5"/>
      <c r="NJK127" s="5"/>
      <c r="NJL127" s="5"/>
      <c r="NJM127" s="5"/>
      <c r="NJN127" s="5"/>
      <c r="NJO127" s="5"/>
      <c r="NJP127" s="5"/>
      <c r="NJQ127" s="5"/>
      <c r="NJR127" s="5"/>
      <c r="NJS127" s="5"/>
      <c r="NJT127" s="5"/>
      <c r="NJU127" s="5"/>
      <c r="NJV127" s="5"/>
      <c r="NJW127" s="5"/>
      <c r="NJX127" s="5"/>
      <c r="NJY127" s="5"/>
      <c r="NJZ127" s="5"/>
      <c r="NKA127" s="5"/>
      <c r="NKB127" s="5"/>
      <c r="NKC127" s="5"/>
      <c r="NKD127" s="5"/>
      <c r="NKE127" s="5"/>
      <c r="NKF127" s="5"/>
      <c r="NKG127" s="5"/>
      <c r="NKH127" s="5"/>
      <c r="NKI127" s="5"/>
      <c r="NKJ127" s="5"/>
      <c r="NKK127" s="5"/>
      <c r="NKL127" s="5"/>
      <c r="NKM127" s="5"/>
      <c r="NKN127" s="5"/>
      <c r="NKO127" s="5"/>
      <c r="NKP127" s="5"/>
      <c r="NKQ127" s="5"/>
      <c r="NKR127" s="5"/>
      <c r="NKS127" s="5"/>
      <c r="NKT127" s="5"/>
      <c r="NKU127" s="5"/>
      <c r="NKV127" s="5"/>
      <c r="NKW127" s="5"/>
      <c r="NKX127" s="5"/>
      <c r="NKY127" s="5"/>
      <c r="NKZ127" s="5"/>
      <c r="NLA127" s="5"/>
      <c r="NLB127" s="5"/>
      <c r="NLC127" s="5"/>
      <c r="NLD127" s="5"/>
      <c r="NLE127" s="5"/>
      <c r="NLF127" s="5"/>
      <c r="NLG127" s="5"/>
      <c r="NLH127" s="5"/>
      <c r="NLI127" s="5"/>
      <c r="NLJ127" s="5"/>
      <c r="NLK127" s="5"/>
      <c r="NLL127" s="5"/>
      <c r="NLM127" s="5"/>
      <c r="NLN127" s="5"/>
      <c r="NLO127" s="5"/>
      <c r="NLP127" s="5"/>
      <c r="NLQ127" s="5"/>
      <c r="NLR127" s="5"/>
      <c r="NLS127" s="5"/>
      <c r="NLT127" s="5"/>
      <c r="NLU127" s="5"/>
      <c r="NLV127" s="5"/>
      <c r="NLW127" s="5"/>
      <c r="NLX127" s="5"/>
      <c r="NLY127" s="5"/>
      <c r="NLZ127" s="5"/>
      <c r="NMA127" s="5"/>
      <c r="NMB127" s="5"/>
      <c r="NMC127" s="5"/>
      <c r="NMD127" s="5"/>
      <c r="NME127" s="5"/>
      <c r="NMF127" s="5"/>
      <c r="NMG127" s="5"/>
      <c r="NMH127" s="5"/>
      <c r="NMI127" s="5"/>
      <c r="NMJ127" s="5"/>
      <c r="NMK127" s="5"/>
      <c r="NML127" s="5"/>
      <c r="NMM127" s="5"/>
      <c r="NMN127" s="5"/>
      <c r="NMO127" s="5"/>
      <c r="NMP127" s="5"/>
      <c r="NMQ127" s="5"/>
      <c r="NMR127" s="5"/>
      <c r="NMS127" s="5"/>
      <c r="NMT127" s="5"/>
      <c r="NMU127" s="5"/>
      <c r="NMV127" s="5"/>
      <c r="NMW127" s="5"/>
      <c r="NMX127" s="5"/>
      <c r="NMY127" s="5"/>
      <c r="NMZ127" s="5"/>
      <c r="NNA127" s="5"/>
      <c r="NNB127" s="5"/>
      <c r="NNC127" s="5"/>
      <c r="NND127" s="5"/>
      <c r="NNE127" s="5"/>
      <c r="NNF127" s="5"/>
      <c r="NNG127" s="5"/>
      <c r="NNH127" s="5"/>
      <c r="NNI127" s="5"/>
      <c r="NNJ127" s="5"/>
      <c r="NNK127" s="5"/>
      <c r="NNL127" s="5"/>
      <c r="NNM127" s="5"/>
      <c r="NNN127" s="5"/>
      <c r="NNO127" s="5"/>
      <c r="NNP127" s="5"/>
      <c r="NNQ127" s="5"/>
      <c r="NNR127" s="5"/>
      <c r="NNS127" s="5"/>
      <c r="NNT127" s="5"/>
      <c r="NNU127" s="5"/>
      <c r="NNV127" s="5"/>
      <c r="NNW127" s="5"/>
      <c r="NNX127" s="5"/>
      <c r="NNY127" s="5"/>
      <c r="NNZ127" s="5"/>
      <c r="NOA127" s="5"/>
      <c r="NOB127" s="5"/>
      <c r="NOC127" s="5"/>
      <c r="NOD127" s="5"/>
      <c r="NOE127" s="5"/>
      <c r="NOF127" s="5"/>
      <c r="NOG127" s="5"/>
      <c r="NOH127" s="5"/>
      <c r="NOI127" s="5"/>
      <c r="NOJ127" s="5"/>
      <c r="NOK127" s="5"/>
      <c r="NOL127" s="5"/>
      <c r="NOM127" s="5"/>
      <c r="NON127" s="5"/>
      <c r="NOO127" s="5"/>
      <c r="NOP127" s="5"/>
      <c r="NOQ127" s="5"/>
      <c r="NOR127" s="5"/>
      <c r="NOS127" s="5"/>
      <c r="NOT127" s="5"/>
      <c r="NOU127" s="5"/>
      <c r="NOV127" s="5"/>
      <c r="NOW127" s="5"/>
      <c r="NOX127" s="5"/>
      <c r="NOY127" s="5"/>
      <c r="NOZ127" s="5"/>
      <c r="NPA127" s="5"/>
      <c r="NPB127" s="5"/>
      <c r="NPC127" s="5"/>
      <c r="NPD127" s="5"/>
      <c r="NPE127" s="5"/>
      <c r="NPF127" s="5"/>
      <c r="NPG127" s="5"/>
      <c r="NPH127" s="5"/>
      <c r="NPI127" s="5"/>
      <c r="NPJ127" s="5"/>
      <c r="NPK127" s="5"/>
      <c r="NPL127" s="5"/>
      <c r="NPM127" s="5"/>
      <c r="NPN127" s="5"/>
      <c r="NPO127" s="5"/>
      <c r="NPP127" s="5"/>
      <c r="NPQ127" s="5"/>
      <c r="NPR127" s="5"/>
      <c r="NPS127" s="5"/>
      <c r="NPT127" s="5"/>
      <c r="NPU127" s="5"/>
      <c r="NPV127" s="5"/>
      <c r="NPW127" s="5"/>
      <c r="NPX127" s="5"/>
      <c r="NPY127" s="5"/>
      <c r="NPZ127" s="5"/>
      <c r="NQA127" s="5"/>
      <c r="NQB127" s="5"/>
      <c r="NQC127" s="5"/>
      <c r="NQD127" s="5"/>
      <c r="NQE127" s="5"/>
      <c r="NQF127" s="5"/>
      <c r="NQG127" s="5"/>
      <c r="NQH127" s="5"/>
      <c r="NQI127" s="5"/>
      <c r="NQJ127" s="5"/>
      <c r="NQK127" s="5"/>
      <c r="NQL127" s="5"/>
      <c r="NQM127" s="5"/>
      <c r="NQN127" s="5"/>
      <c r="NQO127" s="5"/>
      <c r="NQP127" s="5"/>
      <c r="NQQ127" s="5"/>
      <c r="NQR127" s="5"/>
      <c r="NQS127" s="5"/>
      <c r="NQT127" s="5"/>
      <c r="NQU127" s="5"/>
      <c r="NQV127" s="5"/>
      <c r="NQW127" s="5"/>
      <c r="NQX127" s="5"/>
      <c r="NQY127" s="5"/>
      <c r="NQZ127" s="5"/>
      <c r="NRA127" s="5"/>
      <c r="NRB127" s="5"/>
      <c r="NRC127" s="5"/>
      <c r="NRD127" s="5"/>
      <c r="NRE127" s="5"/>
      <c r="NRF127" s="5"/>
      <c r="NRG127" s="5"/>
      <c r="NRH127" s="5"/>
      <c r="NRI127" s="5"/>
      <c r="NRJ127" s="5"/>
      <c r="NRK127" s="5"/>
      <c r="NRL127" s="5"/>
      <c r="NRM127" s="5"/>
      <c r="NRN127" s="5"/>
      <c r="NRO127" s="5"/>
      <c r="NRP127" s="5"/>
      <c r="NRQ127" s="5"/>
      <c r="NRR127" s="5"/>
      <c r="NRS127" s="5"/>
      <c r="NRT127" s="5"/>
      <c r="NRU127" s="5"/>
      <c r="NRV127" s="5"/>
      <c r="NRW127" s="5"/>
      <c r="NRX127" s="5"/>
      <c r="NRY127" s="5"/>
      <c r="NRZ127" s="5"/>
      <c r="NSA127" s="5"/>
      <c r="NSB127" s="5"/>
      <c r="NSC127" s="5"/>
      <c r="NSD127" s="5"/>
      <c r="NSE127" s="5"/>
      <c r="NSF127" s="5"/>
      <c r="NSG127" s="5"/>
      <c r="NSH127" s="5"/>
      <c r="NSI127" s="5"/>
      <c r="NSJ127" s="5"/>
      <c r="NSK127" s="5"/>
      <c r="NSL127" s="5"/>
      <c r="NSM127" s="5"/>
      <c r="NSN127" s="5"/>
      <c r="NSO127" s="5"/>
      <c r="NSP127" s="5"/>
      <c r="NSQ127" s="5"/>
      <c r="NSR127" s="5"/>
      <c r="NSS127" s="5"/>
      <c r="NST127" s="5"/>
      <c r="NSU127" s="5"/>
      <c r="NSV127" s="5"/>
      <c r="NSW127" s="5"/>
      <c r="NSX127" s="5"/>
      <c r="NSY127" s="5"/>
      <c r="NSZ127" s="5"/>
      <c r="NTA127" s="5"/>
      <c r="NTB127" s="5"/>
      <c r="NTC127" s="5"/>
      <c r="NTD127" s="5"/>
      <c r="NTE127" s="5"/>
      <c r="NTF127" s="5"/>
      <c r="NTG127" s="5"/>
      <c r="NTH127" s="5"/>
      <c r="NTI127" s="5"/>
      <c r="NTJ127" s="5"/>
      <c r="NTK127" s="5"/>
      <c r="NTL127" s="5"/>
      <c r="NTM127" s="5"/>
      <c r="NTN127" s="5"/>
      <c r="NTO127" s="5"/>
      <c r="NTP127" s="5"/>
      <c r="NTQ127" s="5"/>
      <c r="NTR127" s="5"/>
      <c r="NTS127" s="5"/>
      <c r="NTT127" s="5"/>
      <c r="NTU127" s="5"/>
      <c r="NTV127" s="5"/>
      <c r="NTW127" s="5"/>
      <c r="NTX127" s="5"/>
      <c r="NTY127" s="5"/>
      <c r="NTZ127" s="5"/>
      <c r="NUA127" s="5"/>
      <c r="NUB127" s="5"/>
      <c r="NUC127" s="5"/>
      <c r="NUD127" s="5"/>
      <c r="NUE127" s="5"/>
      <c r="NUF127" s="5"/>
      <c r="NUG127" s="5"/>
      <c r="NUH127" s="5"/>
      <c r="NUI127" s="5"/>
      <c r="NUJ127" s="5"/>
      <c r="NUK127" s="5"/>
      <c r="NUL127" s="5"/>
      <c r="NUM127" s="5"/>
      <c r="NUN127" s="5"/>
      <c r="NUO127" s="5"/>
      <c r="NUP127" s="5"/>
      <c r="NUQ127" s="5"/>
      <c r="NUR127" s="5"/>
      <c r="NUS127" s="5"/>
      <c r="NUT127" s="5"/>
      <c r="NUU127" s="5"/>
      <c r="NUV127" s="5"/>
      <c r="NUW127" s="5"/>
      <c r="NUX127" s="5"/>
      <c r="NUY127" s="5"/>
      <c r="NUZ127" s="5"/>
      <c r="NVA127" s="5"/>
      <c r="NVB127" s="5"/>
      <c r="NVC127" s="5"/>
      <c r="NVD127" s="5"/>
      <c r="NVE127" s="5"/>
      <c r="NVF127" s="5"/>
      <c r="NVG127" s="5"/>
      <c r="NVH127" s="5"/>
      <c r="NVI127" s="5"/>
      <c r="NVJ127" s="5"/>
      <c r="NVK127" s="5"/>
      <c r="NVL127" s="5"/>
      <c r="NVM127" s="5"/>
      <c r="NVN127" s="5"/>
      <c r="NVO127" s="5"/>
      <c r="NVP127" s="5"/>
      <c r="NVQ127" s="5"/>
      <c r="NVR127" s="5"/>
      <c r="NVS127" s="5"/>
      <c r="NVT127" s="5"/>
      <c r="NVU127" s="5"/>
      <c r="NVV127" s="5"/>
      <c r="NVW127" s="5"/>
      <c r="NVX127" s="5"/>
      <c r="NVY127" s="5"/>
      <c r="NVZ127" s="5"/>
      <c r="NWA127" s="5"/>
      <c r="NWB127" s="5"/>
      <c r="NWC127" s="5"/>
      <c r="NWD127" s="5"/>
      <c r="NWE127" s="5"/>
      <c r="NWF127" s="5"/>
      <c r="NWG127" s="5"/>
      <c r="NWH127" s="5"/>
      <c r="NWI127" s="5"/>
      <c r="NWJ127" s="5"/>
      <c r="NWK127" s="5"/>
      <c r="NWL127" s="5"/>
      <c r="NWM127" s="5"/>
      <c r="NWN127" s="5"/>
      <c r="NWO127" s="5"/>
      <c r="NWP127" s="5"/>
      <c r="NWQ127" s="5"/>
      <c r="NWR127" s="5"/>
      <c r="NWS127" s="5"/>
      <c r="NWT127" s="5"/>
      <c r="NWU127" s="5"/>
      <c r="NWV127" s="5"/>
      <c r="NWW127" s="5"/>
      <c r="NWX127" s="5"/>
      <c r="NWY127" s="5"/>
      <c r="NWZ127" s="5"/>
      <c r="NXA127" s="5"/>
      <c r="NXB127" s="5"/>
      <c r="NXC127" s="5"/>
      <c r="NXD127" s="5"/>
      <c r="NXE127" s="5"/>
      <c r="NXF127" s="5"/>
      <c r="NXG127" s="5"/>
      <c r="NXH127" s="5"/>
      <c r="NXI127" s="5"/>
      <c r="NXJ127" s="5"/>
      <c r="NXK127" s="5"/>
      <c r="NXL127" s="5"/>
      <c r="NXM127" s="5"/>
      <c r="NXN127" s="5"/>
      <c r="NXO127" s="5"/>
      <c r="NXP127" s="5"/>
      <c r="NXQ127" s="5"/>
      <c r="NXR127" s="5"/>
      <c r="NXS127" s="5"/>
      <c r="NXT127" s="5"/>
      <c r="NXU127" s="5"/>
      <c r="NXV127" s="5"/>
      <c r="NXW127" s="5"/>
      <c r="NXX127" s="5"/>
      <c r="NXY127" s="5"/>
      <c r="NXZ127" s="5"/>
      <c r="NYA127" s="5"/>
      <c r="NYB127" s="5"/>
      <c r="NYC127" s="5"/>
      <c r="NYD127" s="5"/>
      <c r="NYE127" s="5"/>
      <c r="NYF127" s="5"/>
      <c r="NYG127" s="5"/>
      <c r="NYH127" s="5"/>
      <c r="NYI127" s="5"/>
      <c r="NYJ127" s="5"/>
      <c r="NYK127" s="5"/>
      <c r="NYL127" s="5"/>
      <c r="NYM127" s="5"/>
      <c r="NYN127" s="5"/>
      <c r="NYO127" s="5"/>
      <c r="NYP127" s="5"/>
      <c r="NYQ127" s="5"/>
      <c r="NYR127" s="5"/>
      <c r="NYS127" s="5"/>
      <c r="NYT127" s="5"/>
      <c r="NYU127" s="5"/>
      <c r="NYV127" s="5"/>
      <c r="NYW127" s="5"/>
      <c r="NYX127" s="5"/>
      <c r="NYY127" s="5"/>
      <c r="NYZ127" s="5"/>
      <c r="NZA127" s="5"/>
      <c r="NZB127" s="5"/>
      <c r="NZC127" s="5"/>
      <c r="NZD127" s="5"/>
      <c r="NZE127" s="5"/>
      <c r="NZF127" s="5"/>
      <c r="NZG127" s="5"/>
      <c r="NZH127" s="5"/>
      <c r="NZI127" s="5"/>
      <c r="NZJ127" s="5"/>
      <c r="NZK127" s="5"/>
      <c r="NZL127" s="5"/>
      <c r="NZM127" s="5"/>
      <c r="NZN127" s="5"/>
      <c r="NZO127" s="5"/>
      <c r="NZP127" s="5"/>
      <c r="NZQ127" s="5"/>
      <c r="NZR127" s="5"/>
      <c r="NZS127" s="5"/>
      <c r="NZT127" s="5"/>
      <c r="NZU127" s="5"/>
      <c r="NZV127" s="5"/>
      <c r="NZW127" s="5"/>
      <c r="NZX127" s="5"/>
      <c r="NZY127" s="5"/>
      <c r="NZZ127" s="5"/>
      <c r="OAA127" s="5"/>
      <c r="OAB127" s="5"/>
      <c r="OAC127" s="5"/>
      <c r="OAD127" s="5"/>
      <c r="OAE127" s="5"/>
      <c r="OAF127" s="5"/>
      <c r="OAG127" s="5"/>
      <c r="OAH127" s="5"/>
      <c r="OAI127" s="5"/>
      <c r="OAJ127" s="5"/>
      <c r="OAK127" s="5"/>
      <c r="OAL127" s="5"/>
      <c r="OAM127" s="5"/>
      <c r="OAN127" s="5"/>
      <c r="OAO127" s="5"/>
      <c r="OAP127" s="5"/>
      <c r="OAQ127" s="5"/>
      <c r="OAR127" s="5"/>
      <c r="OAS127" s="5"/>
      <c r="OAT127" s="5"/>
      <c r="OAU127" s="5"/>
      <c r="OAV127" s="5"/>
      <c r="OAW127" s="5"/>
      <c r="OAX127" s="5"/>
      <c r="OAY127" s="5"/>
      <c r="OAZ127" s="5"/>
      <c r="OBA127" s="5"/>
      <c r="OBB127" s="5"/>
      <c r="OBC127" s="5"/>
      <c r="OBD127" s="5"/>
      <c r="OBE127" s="5"/>
      <c r="OBF127" s="5"/>
      <c r="OBG127" s="5"/>
      <c r="OBH127" s="5"/>
      <c r="OBI127" s="5"/>
      <c r="OBJ127" s="5"/>
      <c r="OBK127" s="5"/>
      <c r="OBL127" s="5"/>
      <c r="OBM127" s="5"/>
      <c r="OBN127" s="5"/>
      <c r="OBO127" s="5"/>
      <c r="OBP127" s="5"/>
      <c r="OBQ127" s="5"/>
      <c r="OBR127" s="5"/>
      <c r="OBS127" s="5"/>
      <c r="OBT127" s="5"/>
      <c r="OBU127" s="5"/>
      <c r="OBV127" s="5"/>
      <c r="OBW127" s="5"/>
      <c r="OBX127" s="5"/>
      <c r="OBY127" s="5"/>
      <c r="OBZ127" s="5"/>
      <c r="OCA127" s="5"/>
      <c r="OCB127" s="5"/>
      <c r="OCC127" s="5"/>
      <c r="OCD127" s="5"/>
      <c r="OCE127" s="5"/>
      <c r="OCF127" s="5"/>
      <c r="OCG127" s="5"/>
      <c r="OCH127" s="5"/>
      <c r="OCI127" s="5"/>
      <c r="OCJ127" s="5"/>
      <c r="OCK127" s="5"/>
      <c r="OCL127" s="5"/>
      <c r="OCM127" s="5"/>
      <c r="OCN127" s="5"/>
      <c r="OCO127" s="5"/>
      <c r="OCP127" s="5"/>
      <c r="OCQ127" s="5"/>
      <c r="OCR127" s="5"/>
      <c r="OCS127" s="5"/>
      <c r="OCT127" s="5"/>
      <c r="OCU127" s="5"/>
      <c r="OCV127" s="5"/>
      <c r="OCW127" s="5"/>
      <c r="OCX127" s="5"/>
      <c r="OCY127" s="5"/>
      <c r="OCZ127" s="5"/>
      <c r="ODA127" s="5"/>
      <c r="ODB127" s="5"/>
      <c r="ODC127" s="5"/>
      <c r="ODD127" s="5"/>
      <c r="ODE127" s="5"/>
      <c r="ODF127" s="5"/>
      <c r="ODG127" s="5"/>
      <c r="ODH127" s="5"/>
      <c r="ODI127" s="5"/>
      <c r="ODJ127" s="5"/>
      <c r="ODK127" s="5"/>
      <c r="ODL127" s="5"/>
      <c r="ODM127" s="5"/>
      <c r="ODN127" s="5"/>
      <c r="ODO127" s="5"/>
      <c r="ODP127" s="5"/>
      <c r="ODQ127" s="5"/>
      <c r="ODR127" s="5"/>
      <c r="ODS127" s="5"/>
      <c r="ODT127" s="5"/>
      <c r="ODU127" s="5"/>
      <c r="ODV127" s="5"/>
      <c r="ODW127" s="5"/>
      <c r="ODX127" s="5"/>
      <c r="ODY127" s="5"/>
      <c r="ODZ127" s="5"/>
      <c r="OEA127" s="5"/>
      <c r="OEB127" s="5"/>
      <c r="OEC127" s="5"/>
      <c r="OED127" s="5"/>
      <c r="OEE127" s="5"/>
      <c r="OEF127" s="5"/>
      <c r="OEG127" s="5"/>
      <c r="OEH127" s="5"/>
      <c r="OEI127" s="5"/>
      <c r="OEJ127" s="5"/>
      <c r="OEK127" s="5"/>
      <c r="OEL127" s="5"/>
      <c r="OEM127" s="5"/>
      <c r="OEN127" s="5"/>
      <c r="OEO127" s="5"/>
      <c r="OEP127" s="5"/>
      <c r="OEQ127" s="5"/>
      <c r="OER127" s="5"/>
      <c r="OES127" s="5"/>
      <c r="OET127" s="5"/>
      <c r="OEU127" s="5"/>
      <c r="OEV127" s="5"/>
      <c r="OEW127" s="5"/>
      <c r="OEX127" s="5"/>
      <c r="OEY127" s="5"/>
      <c r="OEZ127" s="5"/>
      <c r="OFA127" s="5"/>
      <c r="OFB127" s="5"/>
      <c r="OFC127" s="5"/>
      <c r="OFD127" s="5"/>
      <c r="OFE127" s="5"/>
      <c r="OFF127" s="5"/>
      <c r="OFG127" s="5"/>
      <c r="OFH127" s="5"/>
      <c r="OFI127" s="5"/>
      <c r="OFJ127" s="5"/>
      <c r="OFK127" s="5"/>
      <c r="OFL127" s="5"/>
      <c r="OFM127" s="5"/>
      <c r="OFN127" s="5"/>
      <c r="OFO127" s="5"/>
      <c r="OFP127" s="5"/>
      <c r="OFQ127" s="5"/>
      <c r="OFR127" s="5"/>
      <c r="OFS127" s="5"/>
      <c r="OFT127" s="5"/>
      <c r="OFU127" s="5"/>
      <c r="OFV127" s="5"/>
      <c r="OFW127" s="5"/>
      <c r="OFX127" s="5"/>
      <c r="OFY127" s="5"/>
      <c r="OFZ127" s="5"/>
      <c r="OGA127" s="5"/>
      <c r="OGB127" s="5"/>
      <c r="OGC127" s="5"/>
      <c r="OGD127" s="5"/>
      <c r="OGE127" s="5"/>
      <c r="OGF127" s="5"/>
      <c r="OGG127" s="5"/>
      <c r="OGH127" s="5"/>
      <c r="OGI127" s="5"/>
      <c r="OGJ127" s="5"/>
      <c r="OGK127" s="5"/>
      <c r="OGL127" s="5"/>
      <c r="OGM127" s="5"/>
      <c r="OGN127" s="5"/>
      <c r="OGO127" s="5"/>
      <c r="OGP127" s="5"/>
      <c r="OGQ127" s="5"/>
      <c r="OGR127" s="5"/>
      <c r="OGS127" s="5"/>
      <c r="OGT127" s="5"/>
      <c r="OGU127" s="5"/>
      <c r="OGV127" s="5"/>
      <c r="OGW127" s="5"/>
      <c r="OGX127" s="5"/>
      <c r="OGY127" s="5"/>
      <c r="OGZ127" s="5"/>
      <c r="OHA127" s="5"/>
      <c r="OHB127" s="5"/>
      <c r="OHC127" s="5"/>
      <c r="OHD127" s="5"/>
      <c r="OHE127" s="5"/>
      <c r="OHF127" s="5"/>
      <c r="OHG127" s="5"/>
      <c r="OHH127" s="5"/>
      <c r="OHI127" s="5"/>
      <c r="OHJ127" s="5"/>
      <c r="OHK127" s="5"/>
      <c r="OHL127" s="5"/>
      <c r="OHM127" s="5"/>
      <c r="OHN127" s="5"/>
      <c r="OHO127" s="5"/>
      <c r="OHP127" s="5"/>
      <c r="OHQ127" s="5"/>
      <c r="OHR127" s="5"/>
      <c r="OHS127" s="5"/>
      <c r="OHT127" s="5"/>
      <c r="OHU127" s="5"/>
      <c r="OHV127" s="5"/>
      <c r="OHW127" s="5"/>
      <c r="OHX127" s="5"/>
      <c r="OHY127" s="5"/>
      <c r="OHZ127" s="5"/>
      <c r="OIA127" s="5"/>
      <c r="OIB127" s="5"/>
      <c r="OIC127" s="5"/>
      <c r="OID127" s="5"/>
      <c r="OIE127" s="5"/>
      <c r="OIF127" s="5"/>
      <c r="OIG127" s="5"/>
      <c r="OIH127" s="5"/>
      <c r="OII127" s="5"/>
      <c r="OIJ127" s="5"/>
      <c r="OIK127" s="5"/>
      <c r="OIL127" s="5"/>
      <c r="OIM127" s="5"/>
      <c r="OIN127" s="5"/>
      <c r="OIO127" s="5"/>
      <c r="OIP127" s="5"/>
      <c r="OIQ127" s="5"/>
      <c r="OIR127" s="5"/>
      <c r="OIS127" s="5"/>
      <c r="OIT127" s="5"/>
      <c r="OIU127" s="5"/>
      <c r="OIV127" s="5"/>
      <c r="OIW127" s="5"/>
      <c r="OIX127" s="5"/>
      <c r="OIY127" s="5"/>
      <c r="OIZ127" s="5"/>
      <c r="OJA127" s="5"/>
      <c r="OJB127" s="5"/>
      <c r="OJC127" s="5"/>
      <c r="OJD127" s="5"/>
      <c r="OJE127" s="5"/>
      <c r="OJF127" s="5"/>
      <c r="OJG127" s="5"/>
      <c r="OJH127" s="5"/>
      <c r="OJI127" s="5"/>
      <c r="OJJ127" s="5"/>
      <c r="OJK127" s="5"/>
      <c r="OJL127" s="5"/>
      <c r="OJM127" s="5"/>
      <c r="OJN127" s="5"/>
      <c r="OJO127" s="5"/>
      <c r="OJP127" s="5"/>
      <c r="OJQ127" s="5"/>
      <c r="OJR127" s="5"/>
      <c r="OJS127" s="5"/>
      <c r="OJT127" s="5"/>
      <c r="OJU127" s="5"/>
      <c r="OJV127" s="5"/>
      <c r="OJW127" s="5"/>
      <c r="OJX127" s="5"/>
      <c r="OJY127" s="5"/>
      <c r="OJZ127" s="5"/>
      <c r="OKA127" s="5"/>
      <c r="OKB127" s="5"/>
      <c r="OKC127" s="5"/>
      <c r="OKD127" s="5"/>
      <c r="OKE127" s="5"/>
      <c r="OKF127" s="5"/>
      <c r="OKG127" s="5"/>
      <c r="OKH127" s="5"/>
      <c r="OKI127" s="5"/>
      <c r="OKJ127" s="5"/>
      <c r="OKK127" s="5"/>
      <c r="OKL127" s="5"/>
      <c r="OKM127" s="5"/>
      <c r="OKN127" s="5"/>
      <c r="OKO127" s="5"/>
      <c r="OKP127" s="5"/>
      <c r="OKQ127" s="5"/>
      <c r="OKR127" s="5"/>
      <c r="OKS127" s="5"/>
      <c r="OKT127" s="5"/>
      <c r="OKU127" s="5"/>
      <c r="OKV127" s="5"/>
      <c r="OKW127" s="5"/>
      <c r="OKX127" s="5"/>
      <c r="OKY127" s="5"/>
      <c r="OKZ127" s="5"/>
      <c r="OLA127" s="5"/>
      <c r="OLB127" s="5"/>
      <c r="OLC127" s="5"/>
      <c r="OLD127" s="5"/>
      <c r="OLE127" s="5"/>
      <c r="OLF127" s="5"/>
      <c r="OLG127" s="5"/>
      <c r="OLH127" s="5"/>
      <c r="OLI127" s="5"/>
      <c r="OLJ127" s="5"/>
      <c r="OLK127" s="5"/>
      <c r="OLL127" s="5"/>
      <c r="OLM127" s="5"/>
      <c r="OLN127" s="5"/>
      <c r="OLO127" s="5"/>
      <c r="OLP127" s="5"/>
      <c r="OLQ127" s="5"/>
      <c r="OLR127" s="5"/>
      <c r="OLS127" s="5"/>
      <c r="OLT127" s="5"/>
      <c r="OLU127" s="5"/>
      <c r="OLV127" s="5"/>
      <c r="OLW127" s="5"/>
      <c r="OLX127" s="5"/>
      <c r="OLY127" s="5"/>
      <c r="OLZ127" s="5"/>
      <c r="OMA127" s="5"/>
      <c r="OMB127" s="5"/>
      <c r="OMC127" s="5"/>
      <c r="OMD127" s="5"/>
      <c r="OME127" s="5"/>
      <c r="OMF127" s="5"/>
      <c r="OMG127" s="5"/>
      <c r="OMH127" s="5"/>
      <c r="OMI127" s="5"/>
      <c r="OMJ127" s="5"/>
      <c r="OMK127" s="5"/>
      <c r="OML127" s="5"/>
      <c r="OMM127" s="5"/>
      <c r="OMN127" s="5"/>
      <c r="OMO127" s="5"/>
      <c r="OMP127" s="5"/>
      <c r="OMQ127" s="5"/>
      <c r="OMR127" s="5"/>
      <c r="OMS127" s="5"/>
      <c r="OMT127" s="5"/>
      <c r="OMU127" s="5"/>
      <c r="OMV127" s="5"/>
      <c r="OMW127" s="5"/>
      <c r="OMX127" s="5"/>
      <c r="OMY127" s="5"/>
      <c r="OMZ127" s="5"/>
      <c r="ONA127" s="5"/>
      <c r="ONB127" s="5"/>
      <c r="ONC127" s="5"/>
      <c r="OND127" s="5"/>
      <c r="ONE127" s="5"/>
      <c r="ONF127" s="5"/>
      <c r="ONG127" s="5"/>
      <c r="ONH127" s="5"/>
      <c r="ONI127" s="5"/>
      <c r="ONJ127" s="5"/>
      <c r="ONK127" s="5"/>
      <c r="ONL127" s="5"/>
      <c r="ONM127" s="5"/>
      <c r="ONN127" s="5"/>
      <c r="ONO127" s="5"/>
      <c r="ONP127" s="5"/>
      <c r="ONQ127" s="5"/>
      <c r="ONR127" s="5"/>
      <c r="ONS127" s="5"/>
      <c r="ONT127" s="5"/>
      <c r="ONU127" s="5"/>
      <c r="ONV127" s="5"/>
      <c r="ONW127" s="5"/>
      <c r="ONX127" s="5"/>
      <c r="ONY127" s="5"/>
      <c r="ONZ127" s="5"/>
      <c r="OOA127" s="5"/>
      <c r="OOB127" s="5"/>
      <c r="OOC127" s="5"/>
      <c r="OOD127" s="5"/>
      <c r="OOE127" s="5"/>
      <c r="OOF127" s="5"/>
      <c r="OOG127" s="5"/>
      <c r="OOH127" s="5"/>
      <c r="OOI127" s="5"/>
      <c r="OOJ127" s="5"/>
      <c r="OOK127" s="5"/>
      <c r="OOL127" s="5"/>
      <c r="OOM127" s="5"/>
      <c r="OON127" s="5"/>
      <c r="OOO127" s="5"/>
      <c r="OOP127" s="5"/>
      <c r="OOQ127" s="5"/>
      <c r="OOR127" s="5"/>
      <c r="OOS127" s="5"/>
      <c r="OOT127" s="5"/>
      <c r="OOU127" s="5"/>
      <c r="OOV127" s="5"/>
      <c r="OOW127" s="5"/>
      <c r="OOX127" s="5"/>
      <c r="OOY127" s="5"/>
      <c r="OOZ127" s="5"/>
      <c r="OPA127" s="5"/>
      <c r="OPB127" s="5"/>
      <c r="OPC127" s="5"/>
      <c r="OPD127" s="5"/>
      <c r="OPE127" s="5"/>
      <c r="OPF127" s="5"/>
      <c r="OPG127" s="5"/>
      <c r="OPH127" s="5"/>
      <c r="OPI127" s="5"/>
      <c r="OPJ127" s="5"/>
      <c r="OPK127" s="5"/>
      <c r="OPL127" s="5"/>
      <c r="OPM127" s="5"/>
      <c r="OPN127" s="5"/>
      <c r="OPO127" s="5"/>
      <c r="OPP127" s="5"/>
      <c r="OPQ127" s="5"/>
      <c r="OPR127" s="5"/>
      <c r="OPS127" s="5"/>
      <c r="OPT127" s="5"/>
      <c r="OPU127" s="5"/>
      <c r="OPV127" s="5"/>
      <c r="OPW127" s="5"/>
      <c r="OPX127" s="5"/>
      <c r="OPY127" s="5"/>
      <c r="OPZ127" s="5"/>
      <c r="OQA127" s="5"/>
      <c r="OQB127" s="5"/>
      <c r="OQC127" s="5"/>
      <c r="OQD127" s="5"/>
      <c r="OQE127" s="5"/>
      <c r="OQF127" s="5"/>
      <c r="OQG127" s="5"/>
      <c r="OQH127" s="5"/>
      <c r="OQI127" s="5"/>
      <c r="OQJ127" s="5"/>
      <c r="OQK127" s="5"/>
      <c r="OQL127" s="5"/>
      <c r="OQM127" s="5"/>
      <c r="OQN127" s="5"/>
      <c r="OQO127" s="5"/>
      <c r="OQP127" s="5"/>
      <c r="OQQ127" s="5"/>
      <c r="OQR127" s="5"/>
      <c r="OQS127" s="5"/>
      <c r="OQT127" s="5"/>
      <c r="OQU127" s="5"/>
      <c r="OQV127" s="5"/>
      <c r="OQW127" s="5"/>
      <c r="OQX127" s="5"/>
      <c r="OQY127" s="5"/>
      <c r="OQZ127" s="5"/>
      <c r="ORA127" s="5"/>
      <c r="ORB127" s="5"/>
      <c r="ORC127" s="5"/>
      <c r="ORD127" s="5"/>
      <c r="ORE127" s="5"/>
      <c r="ORF127" s="5"/>
      <c r="ORG127" s="5"/>
      <c r="ORH127" s="5"/>
      <c r="ORI127" s="5"/>
      <c r="ORJ127" s="5"/>
      <c r="ORK127" s="5"/>
      <c r="ORL127" s="5"/>
      <c r="ORM127" s="5"/>
      <c r="ORN127" s="5"/>
      <c r="ORO127" s="5"/>
      <c r="ORP127" s="5"/>
      <c r="ORQ127" s="5"/>
      <c r="ORR127" s="5"/>
      <c r="ORS127" s="5"/>
      <c r="ORT127" s="5"/>
      <c r="ORU127" s="5"/>
      <c r="ORV127" s="5"/>
      <c r="ORW127" s="5"/>
      <c r="ORX127" s="5"/>
      <c r="ORY127" s="5"/>
      <c r="ORZ127" s="5"/>
      <c r="OSA127" s="5"/>
      <c r="OSB127" s="5"/>
      <c r="OSC127" s="5"/>
      <c r="OSD127" s="5"/>
      <c r="OSE127" s="5"/>
      <c r="OSF127" s="5"/>
      <c r="OSG127" s="5"/>
      <c r="OSH127" s="5"/>
      <c r="OSI127" s="5"/>
      <c r="OSJ127" s="5"/>
      <c r="OSK127" s="5"/>
      <c r="OSL127" s="5"/>
      <c r="OSM127" s="5"/>
      <c r="OSN127" s="5"/>
      <c r="OSO127" s="5"/>
      <c r="OSP127" s="5"/>
      <c r="OSQ127" s="5"/>
      <c r="OSR127" s="5"/>
      <c r="OSS127" s="5"/>
      <c r="OST127" s="5"/>
      <c r="OSU127" s="5"/>
      <c r="OSV127" s="5"/>
      <c r="OSW127" s="5"/>
      <c r="OSX127" s="5"/>
      <c r="OSY127" s="5"/>
      <c r="OSZ127" s="5"/>
      <c r="OTA127" s="5"/>
      <c r="OTB127" s="5"/>
      <c r="OTC127" s="5"/>
      <c r="OTD127" s="5"/>
      <c r="OTE127" s="5"/>
      <c r="OTF127" s="5"/>
      <c r="OTG127" s="5"/>
      <c r="OTH127" s="5"/>
      <c r="OTI127" s="5"/>
      <c r="OTJ127" s="5"/>
      <c r="OTK127" s="5"/>
      <c r="OTL127" s="5"/>
      <c r="OTM127" s="5"/>
      <c r="OTN127" s="5"/>
      <c r="OTO127" s="5"/>
      <c r="OTP127" s="5"/>
      <c r="OTQ127" s="5"/>
      <c r="OTR127" s="5"/>
      <c r="OTS127" s="5"/>
      <c r="OTT127" s="5"/>
      <c r="OTU127" s="5"/>
      <c r="OTV127" s="5"/>
      <c r="OTW127" s="5"/>
      <c r="OTX127" s="5"/>
      <c r="OTY127" s="5"/>
      <c r="OTZ127" s="5"/>
      <c r="OUA127" s="5"/>
      <c r="OUB127" s="5"/>
      <c r="OUC127" s="5"/>
      <c r="OUD127" s="5"/>
      <c r="OUE127" s="5"/>
      <c r="OUF127" s="5"/>
      <c r="OUG127" s="5"/>
      <c r="OUH127" s="5"/>
      <c r="OUI127" s="5"/>
      <c r="OUJ127" s="5"/>
      <c r="OUK127" s="5"/>
      <c r="OUL127" s="5"/>
      <c r="OUM127" s="5"/>
      <c r="OUN127" s="5"/>
      <c r="OUO127" s="5"/>
      <c r="OUP127" s="5"/>
      <c r="OUQ127" s="5"/>
      <c r="OUR127" s="5"/>
      <c r="OUS127" s="5"/>
      <c r="OUT127" s="5"/>
      <c r="OUU127" s="5"/>
      <c r="OUV127" s="5"/>
      <c r="OUW127" s="5"/>
      <c r="OUX127" s="5"/>
      <c r="OUY127" s="5"/>
      <c r="OUZ127" s="5"/>
      <c r="OVA127" s="5"/>
      <c r="OVB127" s="5"/>
      <c r="OVC127" s="5"/>
      <c r="OVD127" s="5"/>
      <c r="OVE127" s="5"/>
      <c r="OVF127" s="5"/>
      <c r="OVG127" s="5"/>
      <c r="OVH127" s="5"/>
      <c r="OVI127" s="5"/>
      <c r="OVJ127" s="5"/>
      <c r="OVK127" s="5"/>
      <c r="OVL127" s="5"/>
      <c r="OVM127" s="5"/>
      <c r="OVN127" s="5"/>
      <c r="OVO127" s="5"/>
      <c r="OVP127" s="5"/>
      <c r="OVQ127" s="5"/>
      <c r="OVR127" s="5"/>
      <c r="OVS127" s="5"/>
      <c r="OVT127" s="5"/>
      <c r="OVU127" s="5"/>
      <c r="OVV127" s="5"/>
      <c r="OVW127" s="5"/>
      <c r="OVX127" s="5"/>
      <c r="OVY127" s="5"/>
      <c r="OVZ127" s="5"/>
      <c r="OWA127" s="5"/>
      <c r="OWB127" s="5"/>
      <c r="OWC127" s="5"/>
      <c r="OWD127" s="5"/>
      <c r="OWE127" s="5"/>
      <c r="OWF127" s="5"/>
      <c r="OWG127" s="5"/>
      <c r="OWH127" s="5"/>
      <c r="OWI127" s="5"/>
      <c r="OWJ127" s="5"/>
      <c r="OWK127" s="5"/>
      <c r="OWL127" s="5"/>
      <c r="OWM127" s="5"/>
      <c r="OWN127" s="5"/>
      <c r="OWO127" s="5"/>
      <c r="OWP127" s="5"/>
      <c r="OWQ127" s="5"/>
      <c r="OWR127" s="5"/>
      <c r="OWS127" s="5"/>
      <c r="OWT127" s="5"/>
      <c r="OWU127" s="5"/>
      <c r="OWV127" s="5"/>
      <c r="OWW127" s="5"/>
      <c r="OWX127" s="5"/>
      <c r="OWY127" s="5"/>
      <c r="OWZ127" s="5"/>
      <c r="OXA127" s="5"/>
      <c r="OXB127" s="5"/>
      <c r="OXC127" s="5"/>
      <c r="OXD127" s="5"/>
      <c r="OXE127" s="5"/>
      <c r="OXF127" s="5"/>
      <c r="OXG127" s="5"/>
      <c r="OXH127" s="5"/>
      <c r="OXI127" s="5"/>
      <c r="OXJ127" s="5"/>
      <c r="OXK127" s="5"/>
      <c r="OXL127" s="5"/>
      <c r="OXM127" s="5"/>
      <c r="OXN127" s="5"/>
      <c r="OXO127" s="5"/>
      <c r="OXP127" s="5"/>
      <c r="OXQ127" s="5"/>
      <c r="OXR127" s="5"/>
      <c r="OXS127" s="5"/>
      <c r="OXT127" s="5"/>
      <c r="OXU127" s="5"/>
      <c r="OXV127" s="5"/>
      <c r="OXW127" s="5"/>
      <c r="OXX127" s="5"/>
      <c r="OXY127" s="5"/>
      <c r="OXZ127" s="5"/>
      <c r="OYA127" s="5"/>
      <c r="OYB127" s="5"/>
      <c r="OYC127" s="5"/>
      <c r="OYD127" s="5"/>
      <c r="OYE127" s="5"/>
      <c r="OYF127" s="5"/>
      <c r="OYG127" s="5"/>
      <c r="OYH127" s="5"/>
      <c r="OYI127" s="5"/>
      <c r="OYJ127" s="5"/>
      <c r="OYK127" s="5"/>
      <c r="OYL127" s="5"/>
      <c r="OYM127" s="5"/>
      <c r="OYN127" s="5"/>
      <c r="OYO127" s="5"/>
      <c r="OYP127" s="5"/>
      <c r="OYQ127" s="5"/>
      <c r="OYR127" s="5"/>
      <c r="OYS127" s="5"/>
      <c r="OYT127" s="5"/>
      <c r="OYU127" s="5"/>
      <c r="OYV127" s="5"/>
      <c r="OYW127" s="5"/>
      <c r="OYX127" s="5"/>
      <c r="OYY127" s="5"/>
      <c r="OYZ127" s="5"/>
      <c r="OZA127" s="5"/>
      <c r="OZB127" s="5"/>
      <c r="OZC127" s="5"/>
      <c r="OZD127" s="5"/>
      <c r="OZE127" s="5"/>
      <c r="OZF127" s="5"/>
      <c r="OZG127" s="5"/>
      <c r="OZH127" s="5"/>
      <c r="OZI127" s="5"/>
      <c r="OZJ127" s="5"/>
      <c r="OZK127" s="5"/>
      <c r="OZL127" s="5"/>
      <c r="OZM127" s="5"/>
      <c r="OZN127" s="5"/>
      <c r="OZO127" s="5"/>
      <c r="OZP127" s="5"/>
      <c r="OZQ127" s="5"/>
      <c r="OZR127" s="5"/>
      <c r="OZS127" s="5"/>
      <c r="OZT127" s="5"/>
      <c r="OZU127" s="5"/>
      <c r="OZV127" s="5"/>
      <c r="OZW127" s="5"/>
      <c r="OZX127" s="5"/>
      <c r="OZY127" s="5"/>
      <c r="OZZ127" s="5"/>
      <c r="PAA127" s="5"/>
      <c r="PAB127" s="5"/>
      <c r="PAC127" s="5"/>
      <c r="PAD127" s="5"/>
      <c r="PAE127" s="5"/>
      <c r="PAF127" s="5"/>
      <c r="PAG127" s="5"/>
      <c r="PAH127" s="5"/>
      <c r="PAI127" s="5"/>
      <c r="PAJ127" s="5"/>
      <c r="PAK127" s="5"/>
      <c r="PAL127" s="5"/>
      <c r="PAM127" s="5"/>
      <c r="PAN127" s="5"/>
      <c r="PAO127" s="5"/>
      <c r="PAP127" s="5"/>
      <c r="PAQ127" s="5"/>
      <c r="PAR127" s="5"/>
      <c r="PAS127" s="5"/>
      <c r="PAT127" s="5"/>
      <c r="PAU127" s="5"/>
      <c r="PAV127" s="5"/>
      <c r="PAW127" s="5"/>
      <c r="PAX127" s="5"/>
      <c r="PAY127" s="5"/>
      <c r="PAZ127" s="5"/>
      <c r="PBA127" s="5"/>
      <c r="PBB127" s="5"/>
      <c r="PBC127" s="5"/>
      <c r="PBD127" s="5"/>
      <c r="PBE127" s="5"/>
      <c r="PBF127" s="5"/>
      <c r="PBG127" s="5"/>
      <c r="PBH127" s="5"/>
      <c r="PBI127" s="5"/>
      <c r="PBJ127" s="5"/>
      <c r="PBK127" s="5"/>
      <c r="PBL127" s="5"/>
      <c r="PBM127" s="5"/>
      <c r="PBN127" s="5"/>
      <c r="PBO127" s="5"/>
      <c r="PBP127" s="5"/>
      <c r="PBQ127" s="5"/>
      <c r="PBR127" s="5"/>
      <c r="PBS127" s="5"/>
      <c r="PBT127" s="5"/>
      <c r="PBU127" s="5"/>
      <c r="PBV127" s="5"/>
      <c r="PBW127" s="5"/>
      <c r="PBX127" s="5"/>
      <c r="PBY127" s="5"/>
      <c r="PBZ127" s="5"/>
      <c r="PCA127" s="5"/>
      <c r="PCB127" s="5"/>
      <c r="PCC127" s="5"/>
      <c r="PCD127" s="5"/>
      <c r="PCE127" s="5"/>
      <c r="PCF127" s="5"/>
      <c r="PCG127" s="5"/>
      <c r="PCH127" s="5"/>
      <c r="PCI127" s="5"/>
      <c r="PCJ127" s="5"/>
      <c r="PCK127" s="5"/>
      <c r="PCL127" s="5"/>
      <c r="PCM127" s="5"/>
      <c r="PCN127" s="5"/>
      <c r="PCO127" s="5"/>
      <c r="PCP127" s="5"/>
      <c r="PCQ127" s="5"/>
      <c r="PCR127" s="5"/>
      <c r="PCS127" s="5"/>
      <c r="PCT127" s="5"/>
      <c r="PCU127" s="5"/>
      <c r="PCV127" s="5"/>
      <c r="PCW127" s="5"/>
      <c r="PCX127" s="5"/>
      <c r="PCY127" s="5"/>
      <c r="PCZ127" s="5"/>
      <c r="PDA127" s="5"/>
      <c r="PDB127" s="5"/>
      <c r="PDC127" s="5"/>
      <c r="PDD127" s="5"/>
      <c r="PDE127" s="5"/>
      <c r="PDF127" s="5"/>
      <c r="PDG127" s="5"/>
      <c r="PDH127" s="5"/>
      <c r="PDI127" s="5"/>
      <c r="PDJ127" s="5"/>
      <c r="PDK127" s="5"/>
      <c r="PDL127" s="5"/>
      <c r="PDM127" s="5"/>
      <c r="PDN127" s="5"/>
      <c r="PDO127" s="5"/>
      <c r="PDP127" s="5"/>
      <c r="PDQ127" s="5"/>
      <c r="PDR127" s="5"/>
      <c r="PDS127" s="5"/>
      <c r="PDT127" s="5"/>
      <c r="PDU127" s="5"/>
      <c r="PDV127" s="5"/>
      <c r="PDW127" s="5"/>
      <c r="PDX127" s="5"/>
      <c r="PDY127" s="5"/>
      <c r="PDZ127" s="5"/>
      <c r="PEA127" s="5"/>
      <c r="PEB127" s="5"/>
      <c r="PEC127" s="5"/>
      <c r="PED127" s="5"/>
      <c r="PEE127" s="5"/>
      <c r="PEF127" s="5"/>
      <c r="PEG127" s="5"/>
      <c r="PEH127" s="5"/>
      <c r="PEI127" s="5"/>
      <c r="PEJ127" s="5"/>
      <c r="PEK127" s="5"/>
      <c r="PEL127" s="5"/>
      <c r="PEM127" s="5"/>
      <c r="PEN127" s="5"/>
      <c r="PEO127" s="5"/>
      <c r="PEP127" s="5"/>
      <c r="PEQ127" s="5"/>
      <c r="PER127" s="5"/>
      <c r="PES127" s="5"/>
      <c r="PET127" s="5"/>
      <c r="PEU127" s="5"/>
      <c r="PEV127" s="5"/>
      <c r="PEW127" s="5"/>
      <c r="PEX127" s="5"/>
      <c r="PEY127" s="5"/>
      <c r="PEZ127" s="5"/>
      <c r="PFA127" s="5"/>
      <c r="PFB127" s="5"/>
      <c r="PFC127" s="5"/>
      <c r="PFD127" s="5"/>
      <c r="PFE127" s="5"/>
      <c r="PFF127" s="5"/>
      <c r="PFG127" s="5"/>
      <c r="PFH127" s="5"/>
      <c r="PFI127" s="5"/>
      <c r="PFJ127" s="5"/>
      <c r="PFK127" s="5"/>
      <c r="PFL127" s="5"/>
      <c r="PFM127" s="5"/>
      <c r="PFN127" s="5"/>
      <c r="PFO127" s="5"/>
      <c r="PFP127" s="5"/>
      <c r="PFQ127" s="5"/>
      <c r="PFR127" s="5"/>
      <c r="PFS127" s="5"/>
      <c r="PFT127" s="5"/>
      <c r="PFU127" s="5"/>
      <c r="PFV127" s="5"/>
      <c r="PFW127" s="5"/>
      <c r="PFX127" s="5"/>
      <c r="PFY127" s="5"/>
      <c r="PFZ127" s="5"/>
      <c r="PGA127" s="5"/>
      <c r="PGB127" s="5"/>
      <c r="PGC127" s="5"/>
      <c r="PGD127" s="5"/>
      <c r="PGE127" s="5"/>
      <c r="PGF127" s="5"/>
      <c r="PGG127" s="5"/>
      <c r="PGH127" s="5"/>
      <c r="PGI127" s="5"/>
      <c r="PGJ127" s="5"/>
      <c r="PGK127" s="5"/>
      <c r="PGL127" s="5"/>
      <c r="PGM127" s="5"/>
      <c r="PGN127" s="5"/>
      <c r="PGO127" s="5"/>
      <c r="PGP127" s="5"/>
      <c r="PGQ127" s="5"/>
      <c r="PGR127" s="5"/>
      <c r="PGS127" s="5"/>
      <c r="PGT127" s="5"/>
      <c r="PGU127" s="5"/>
      <c r="PGV127" s="5"/>
      <c r="PGW127" s="5"/>
      <c r="PGX127" s="5"/>
      <c r="PGY127" s="5"/>
      <c r="PGZ127" s="5"/>
      <c r="PHA127" s="5"/>
      <c r="PHB127" s="5"/>
      <c r="PHC127" s="5"/>
      <c r="PHD127" s="5"/>
      <c r="PHE127" s="5"/>
      <c r="PHF127" s="5"/>
      <c r="PHG127" s="5"/>
      <c r="PHH127" s="5"/>
      <c r="PHI127" s="5"/>
      <c r="PHJ127" s="5"/>
      <c r="PHK127" s="5"/>
      <c r="PHL127" s="5"/>
      <c r="PHM127" s="5"/>
      <c r="PHN127" s="5"/>
      <c r="PHO127" s="5"/>
      <c r="PHP127" s="5"/>
      <c r="PHQ127" s="5"/>
      <c r="PHR127" s="5"/>
      <c r="PHS127" s="5"/>
      <c r="PHT127" s="5"/>
      <c r="PHU127" s="5"/>
      <c r="PHV127" s="5"/>
      <c r="PHW127" s="5"/>
      <c r="PHX127" s="5"/>
      <c r="PHY127" s="5"/>
      <c r="PHZ127" s="5"/>
      <c r="PIA127" s="5"/>
      <c r="PIB127" s="5"/>
      <c r="PIC127" s="5"/>
      <c r="PID127" s="5"/>
      <c r="PIE127" s="5"/>
      <c r="PIF127" s="5"/>
      <c r="PIG127" s="5"/>
      <c r="PIH127" s="5"/>
      <c r="PII127" s="5"/>
      <c r="PIJ127" s="5"/>
      <c r="PIK127" s="5"/>
      <c r="PIL127" s="5"/>
      <c r="PIM127" s="5"/>
      <c r="PIN127" s="5"/>
      <c r="PIO127" s="5"/>
      <c r="PIP127" s="5"/>
      <c r="PIQ127" s="5"/>
      <c r="PIR127" s="5"/>
      <c r="PIS127" s="5"/>
      <c r="PIT127" s="5"/>
      <c r="PIU127" s="5"/>
      <c r="PIV127" s="5"/>
      <c r="PIW127" s="5"/>
      <c r="PIX127" s="5"/>
      <c r="PIY127" s="5"/>
      <c r="PIZ127" s="5"/>
      <c r="PJA127" s="5"/>
      <c r="PJB127" s="5"/>
      <c r="PJC127" s="5"/>
      <c r="PJD127" s="5"/>
      <c r="PJE127" s="5"/>
      <c r="PJF127" s="5"/>
      <c r="PJG127" s="5"/>
      <c r="PJH127" s="5"/>
      <c r="PJI127" s="5"/>
      <c r="PJJ127" s="5"/>
      <c r="PJK127" s="5"/>
      <c r="PJL127" s="5"/>
      <c r="PJM127" s="5"/>
      <c r="PJN127" s="5"/>
      <c r="PJO127" s="5"/>
      <c r="PJP127" s="5"/>
      <c r="PJQ127" s="5"/>
      <c r="PJR127" s="5"/>
      <c r="PJS127" s="5"/>
      <c r="PJT127" s="5"/>
      <c r="PJU127" s="5"/>
      <c r="PJV127" s="5"/>
      <c r="PJW127" s="5"/>
      <c r="PJX127" s="5"/>
      <c r="PJY127" s="5"/>
      <c r="PJZ127" s="5"/>
      <c r="PKA127" s="5"/>
      <c r="PKB127" s="5"/>
      <c r="PKC127" s="5"/>
      <c r="PKD127" s="5"/>
      <c r="PKE127" s="5"/>
      <c r="PKF127" s="5"/>
      <c r="PKG127" s="5"/>
      <c r="PKH127" s="5"/>
      <c r="PKI127" s="5"/>
      <c r="PKJ127" s="5"/>
      <c r="PKK127" s="5"/>
      <c r="PKL127" s="5"/>
      <c r="PKM127" s="5"/>
      <c r="PKN127" s="5"/>
      <c r="PKO127" s="5"/>
      <c r="PKP127" s="5"/>
      <c r="PKQ127" s="5"/>
      <c r="PKR127" s="5"/>
      <c r="PKS127" s="5"/>
      <c r="PKT127" s="5"/>
      <c r="PKU127" s="5"/>
      <c r="PKV127" s="5"/>
      <c r="PKW127" s="5"/>
      <c r="PKX127" s="5"/>
      <c r="PKY127" s="5"/>
      <c r="PKZ127" s="5"/>
      <c r="PLA127" s="5"/>
      <c r="PLB127" s="5"/>
      <c r="PLC127" s="5"/>
      <c r="PLD127" s="5"/>
      <c r="PLE127" s="5"/>
      <c r="PLF127" s="5"/>
      <c r="PLG127" s="5"/>
      <c r="PLH127" s="5"/>
      <c r="PLI127" s="5"/>
      <c r="PLJ127" s="5"/>
      <c r="PLK127" s="5"/>
      <c r="PLL127" s="5"/>
      <c r="PLM127" s="5"/>
      <c r="PLN127" s="5"/>
      <c r="PLO127" s="5"/>
      <c r="PLP127" s="5"/>
      <c r="PLQ127" s="5"/>
      <c r="PLR127" s="5"/>
      <c r="PLS127" s="5"/>
      <c r="PLT127" s="5"/>
      <c r="PLU127" s="5"/>
      <c r="PLV127" s="5"/>
      <c r="PLW127" s="5"/>
      <c r="PLX127" s="5"/>
      <c r="PLY127" s="5"/>
      <c r="PLZ127" s="5"/>
      <c r="PMA127" s="5"/>
      <c r="PMB127" s="5"/>
      <c r="PMC127" s="5"/>
      <c r="PMD127" s="5"/>
      <c r="PME127" s="5"/>
      <c r="PMF127" s="5"/>
      <c r="PMG127" s="5"/>
      <c r="PMH127" s="5"/>
      <c r="PMI127" s="5"/>
      <c r="PMJ127" s="5"/>
      <c r="PMK127" s="5"/>
      <c r="PML127" s="5"/>
      <c r="PMM127" s="5"/>
      <c r="PMN127" s="5"/>
      <c r="PMO127" s="5"/>
      <c r="PMP127" s="5"/>
      <c r="PMQ127" s="5"/>
      <c r="PMR127" s="5"/>
      <c r="PMS127" s="5"/>
      <c r="PMT127" s="5"/>
      <c r="PMU127" s="5"/>
      <c r="PMV127" s="5"/>
      <c r="PMW127" s="5"/>
      <c r="PMX127" s="5"/>
      <c r="PMY127" s="5"/>
      <c r="PMZ127" s="5"/>
      <c r="PNA127" s="5"/>
      <c r="PNB127" s="5"/>
      <c r="PNC127" s="5"/>
      <c r="PND127" s="5"/>
      <c r="PNE127" s="5"/>
      <c r="PNF127" s="5"/>
      <c r="PNG127" s="5"/>
      <c r="PNH127" s="5"/>
      <c r="PNI127" s="5"/>
      <c r="PNJ127" s="5"/>
      <c r="PNK127" s="5"/>
      <c r="PNL127" s="5"/>
      <c r="PNM127" s="5"/>
      <c r="PNN127" s="5"/>
      <c r="PNO127" s="5"/>
      <c r="PNP127" s="5"/>
      <c r="PNQ127" s="5"/>
      <c r="PNR127" s="5"/>
      <c r="PNS127" s="5"/>
      <c r="PNT127" s="5"/>
      <c r="PNU127" s="5"/>
      <c r="PNV127" s="5"/>
      <c r="PNW127" s="5"/>
      <c r="PNX127" s="5"/>
      <c r="PNY127" s="5"/>
      <c r="PNZ127" s="5"/>
      <c r="POA127" s="5"/>
      <c r="POB127" s="5"/>
      <c r="POC127" s="5"/>
      <c r="POD127" s="5"/>
      <c r="POE127" s="5"/>
      <c r="POF127" s="5"/>
      <c r="POG127" s="5"/>
      <c r="POH127" s="5"/>
      <c r="POI127" s="5"/>
      <c r="POJ127" s="5"/>
      <c r="POK127" s="5"/>
      <c r="POL127" s="5"/>
      <c r="POM127" s="5"/>
      <c r="PON127" s="5"/>
      <c r="POO127" s="5"/>
      <c r="POP127" s="5"/>
      <c r="POQ127" s="5"/>
      <c r="POR127" s="5"/>
      <c r="POS127" s="5"/>
      <c r="POT127" s="5"/>
      <c r="POU127" s="5"/>
      <c r="POV127" s="5"/>
      <c r="POW127" s="5"/>
      <c r="POX127" s="5"/>
      <c r="POY127" s="5"/>
      <c r="POZ127" s="5"/>
      <c r="PPA127" s="5"/>
      <c r="PPB127" s="5"/>
      <c r="PPC127" s="5"/>
      <c r="PPD127" s="5"/>
      <c r="PPE127" s="5"/>
      <c r="PPF127" s="5"/>
      <c r="PPG127" s="5"/>
      <c r="PPH127" s="5"/>
      <c r="PPI127" s="5"/>
      <c r="PPJ127" s="5"/>
      <c r="PPK127" s="5"/>
      <c r="PPL127" s="5"/>
      <c r="PPM127" s="5"/>
      <c r="PPN127" s="5"/>
      <c r="PPO127" s="5"/>
      <c r="PPP127" s="5"/>
      <c r="PPQ127" s="5"/>
      <c r="PPR127" s="5"/>
      <c r="PPS127" s="5"/>
      <c r="PPT127" s="5"/>
      <c r="PPU127" s="5"/>
      <c r="PPV127" s="5"/>
      <c r="PPW127" s="5"/>
      <c r="PPX127" s="5"/>
      <c r="PPY127" s="5"/>
      <c r="PPZ127" s="5"/>
      <c r="PQA127" s="5"/>
      <c r="PQB127" s="5"/>
      <c r="PQC127" s="5"/>
      <c r="PQD127" s="5"/>
      <c r="PQE127" s="5"/>
      <c r="PQF127" s="5"/>
      <c r="PQG127" s="5"/>
      <c r="PQH127" s="5"/>
      <c r="PQI127" s="5"/>
      <c r="PQJ127" s="5"/>
      <c r="PQK127" s="5"/>
      <c r="PQL127" s="5"/>
      <c r="PQM127" s="5"/>
      <c r="PQN127" s="5"/>
      <c r="PQO127" s="5"/>
      <c r="PQP127" s="5"/>
      <c r="PQQ127" s="5"/>
      <c r="PQR127" s="5"/>
      <c r="PQS127" s="5"/>
      <c r="PQT127" s="5"/>
      <c r="PQU127" s="5"/>
      <c r="PQV127" s="5"/>
      <c r="PQW127" s="5"/>
      <c r="PQX127" s="5"/>
      <c r="PQY127" s="5"/>
      <c r="PQZ127" s="5"/>
      <c r="PRA127" s="5"/>
      <c r="PRB127" s="5"/>
      <c r="PRC127" s="5"/>
      <c r="PRD127" s="5"/>
      <c r="PRE127" s="5"/>
      <c r="PRF127" s="5"/>
      <c r="PRG127" s="5"/>
      <c r="PRH127" s="5"/>
      <c r="PRI127" s="5"/>
      <c r="PRJ127" s="5"/>
      <c r="PRK127" s="5"/>
      <c r="PRL127" s="5"/>
      <c r="PRM127" s="5"/>
      <c r="PRN127" s="5"/>
      <c r="PRO127" s="5"/>
      <c r="PRP127" s="5"/>
      <c r="PRQ127" s="5"/>
      <c r="PRR127" s="5"/>
      <c r="PRS127" s="5"/>
      <c r="PRT127" s="5"/>
      <c r="PRU127" s="5"/>
      <c r="PRV127" s="5"/>
      <c r="PRW127" s="5"/>
      <c r="PRX127" s="5"/>
      <c r="PRY127" s="5"/>
      <c r="PRZ127" s="5"/>
      <c r="PSA127" s="5"/>
      <c r="PSB127" s="5"/>
      <c r="PSC127" s="5"/>
      <c r="PSD127" s="5"/>
      <c r="PSE127" s="5"/>
      <c r="PSF127" s="5"/>
      <c r="PSG127" s="5"/>
      <c r="PSH127" s="5"/>
      <c r="PSI127" s="5"/>
      <c r="PSJ127" s="5"/>
      <c r="PSK127" s="5"/>
      <c r="PSL127" s="5"/>
      <c r="PSM127" s="5"/>
      <c r="PSN127" s="5"/>
      <c r="PSO127" s="5"/>
      <c r="PSP127" s="5"/>
      <c r="PSQ127" s="5"/>
      <c r="PSR127" s="5"/>
      <c r="PSS127" s="5"/>
      <c r="PST127" s="5"/>
      <c r="PSU127" s="5"/>
      <c r="PSV127" s="5"/>
      <c r="PSW127" s="5"/>
      <c r="PSX127" s="5"/>
      <c r="PSY127" s="5"/>
      <c r="PSZ127" s="5"/>
      <c r="PTA127" s="5"/>
      <c r="PTB127" s="5"/>
      <c r="PTC127" s="5"/>
      <c r="PTD127" s="5"/>
      <c r="PTE127" s="5"/>
      <c r="PTF127" s="5"/>
      <c r="PTG127" s="5"/>
      <c r="PTH127" s="5"/>
      <c r="PTI127" s="5"/>
      <c r="PTJ127" s="5"/>
      <c r="PTK127" s="5"/>
      <c r="PTL127" s="5"/>
      <c r="PTM127" s="5"/>
      <c r="PTN127" s="5"/>
      <c r="PTO127" s="5"/>
      <c r="PTP127" s="5"/>
      <c r="PTQ127" s="5"/>
      <c r="PTR127" s="5"/>
      <c r="PTS127" s="5"/>
      <c r="PTT127" s="5"/>
      <c r="PTU127" s="5"/>
      <c r="PTV127" s="5"/>
      <c r="PTW127" s="5"/>
      <c r="PTX127" s="5"/>
      <c r="PTY127" s="5"/>
      <c r="PTZ127" s="5"/>
      <c r="PUA127" s="5"/>
      <c r="PUB127" s="5"/>
      <c r="PUC127" s="5"/>
      <c r="PUD127" s="5"/>
      <c r="PUE127" s="5"/>
      <c r="PUF127" s="5"/>
      <c r="PUG127" s="5"/>
      <c r="PUH127" s="5"/>
      <c r="PUI127" s="5"/>
      <c r="PUJ127" s="5"/>
      <c r="PUK127" s="5"/>
      <c r="PUL127" s="5"/>
      <c r="PUM127" s="5"/>
      <c r="PUN127" s="5"/>
      <c r="PUO127" s="5"/>
      <c r="PUP127" s="5"/>
      <c r="PUQ127" s="5"/>
      <c r="PUR127" s="5"/>
      <c r="PUS127" s="5"/>
      <c r="PUT127" s="5"/>
      <c r="PUU127" s="5"/>
      <c r="PUV127" s="5"/>
      <c r="PUW127" s="5"/>
      <c r="PUX127" s="5"/>
      <c r="PUY127" s="5"/>
      <c r="PUZ127" s="5"/>
      <c r="PVA127" s="5"/>
      <c r="PVB127" s="5"/>
      <c r="PVC127" s="5"/>
      <c r="PVD127" s="5"/>
      <c r="PVE127" s="5"/>
      <c r="PVF127" s="5"/>
      <c r="PVG127" s="5"/>
      <c r="PVH127" s="5"/>
      <c r="PVI127" s="5"/>
      <c r="PVJ127" s="5"/>
      <c r="PVK127" s="5"/>
      <c r="PVL127" s="5"/>
      <c r="PVM127" s="5"/>
      <c r="PVN127" s="5"/>
      <c r="PVO127" s="5"/>
      <c r="PVP127" s="5"/>
      <c r="PVQ127" s="5"/>
      <c r="PVR127" s="5"/>
      <c r="PVS127" s="5"/>
      <c r="PVT127" s="5"/>
      <c r="PVU127" s="5"/>
      <c r="PVV127" s="5"/>
      <c r="PVW127" s="5"/>
      <c r="PVX127" s="5"/>
      <c r="PVY127" s="5"/>
      <c r="PVZ127" s="5"/>
      <c r="PWA127" s="5"/>
      <c r="PWB127" s="5"/>
      <c r="PWC127" s="5"/>
      <c r="PWD127" s="5"/>
      <c r="PWE127" s="5"/>
      <c r="PWF127" s="5"/>
      <c r="PWG127" s="5"/>
      <c r="PWH127" s="5"/>
      <c r="PWI127" s="5"/>
      <c r="PWJ127" s="5"/>
      <c r="PWK127" s="5"/>
      <c r="PWL127" s="5"/>
      <c r="PWM127" s="5"/>
      <c r="PWN127" s="5"/>
      <c r="PWO127" s="5"/>
      <c r="PWP127" s="5"/>
      <c r="PWQ127" s="5"/>
      <c r="PWR127" s="5"/>
      <c r="PWS127" s="5"/>
      <c r="PWT127" s="5"/>
      <c r="PWU127" s="5"/>
      <c r="PWV127" s="5"/>
      <c r="PWW127" s="5"/>
      <c r="PWX127" s="5"/>
      <c r="PWY127" s="5"/>
      <c r="PWZ127" s="5"/>
      <c r="PXA127" s="5"/>
      <c r="PXB127" s="5"/>
      <c r="PXC127" s="5"/>
      <c r="PXD127" s="5"/>
      <c r="PXE127" s="5"/>
      <c r="PXF127" s="5"/>
      <c r="PXG127" s="5"/>
      <c r="PXH127" s="5"/>
      <c r="PXI127" s="5"/>
      <c r="PXJ127" s="5"/>
      <c r="PXK127" s="5"/>
      <c r="PXL127" s="5"/>
      <c r="PXM127" s="5"/>
      <c r="PXN127" s="5"/>
      <c r="PXO127" s="5"/>
      <c r="PXP127" s="5"/>
      <c r="PXQ127" s="5"/>
      <c r="PXR127" s="5"/>
      <c r="PXS127" s="5"/>
      <c r="PXT127" s="5"/>
      <c r="PXU127" s="5"/>
      <c r="PXV127" s="5"/>
      <c r="PXW127" s="5"/>
      <c r="PXX127" s="5"/>
      <c r="PXY127" s="5"/>
      <c r="PXZ127" s="5"/>
      <c r="PYA127" s="5"/>
      <c r="PYB127" s="5"/>
      <c r="PYC127" s="5"/>
      <c r="PYD127" s="5"/>
      <c r="PYE127" s="5"/>
      <c r="PYF127" s="5"/>
      <c r="PYG127" s="5"/>
      <c r="PYH127" s="5"/>
      <c r="PYI127" s="5"/>
      <c r="PYJ127" s="5"/>
      <c r="PYK127" s="5"/>
      <c r="PYL127" s="5"/>
      <c r="PYM127" s="5"/>
      <c r="PYN127" s="5"/>
      <c r="PYO127" s="5"/>
      <c r="PYP127" s="5"/>
      <c r="PYQ127" s="5"/>
      <c r="PYR127" s="5"/>
      <c r="PYS127" s="5"/>
      <c r="PYT127" s="5"/>
      <c r="PYU127" s="5"/>
      <c r="PYV127" s="5"/>
      <c r="PYW127" s="5"/>
      <c r="PYX127" s="5"/>
      <c r="PYY127" s="5"/>
      <c r="PYZ127" s="5"/>
      <c r="PZA127" s="5"/>
      <c r="PZB127" s="5"/>
      <c r="PZC127" s="5"/>
      <c r="PZD127" s="5"/>
      <c r="PZE127" s="5"/>
      <c r="PZF127" s="5"/>
      <c r="PZG127" s="5"/>
      <c r="PZH127" s="5"/>
      <c r="PZI127" s="5"/>
      <c r="PZJ127" s="5"/>
      <c r="PZK127" s="5"/>
      <c r="PZL127" s="5"/>
      <c r="PZM127" s="5"/>
      <c r="PZN127" s="5"/>
      <c r="PZO127" s="5"/>
      <c r="PZP127" s="5"/>
      <c r="PZQ127" s="5"/>
      <c r="PZR127" s="5"/>
      <c r="PZS127" s="5"/>
      <c r="PZT127" s="5"/>
      <c r="PZU127" s="5"/>
      <c r="PZV127" s="5"/>
      <c r="PZW127" s="5"/>
      <c r="PZX127" s="5"/>
      <c r="PZY127" s="5"/>
      <c r="PZZ127" s="5"/>
      <c r="QAA127" s="5"/>
      <c r="QAB127" s="5"/>
      <c r="QAC127" s="5"/>
      <c r="QAD127" s="5"/>
      <c r="QAE127" s="5"/>
      <c r="QAF127" s="5"/>
      <c r="QAG127" s="5"/>
      <c r="QAH127" s="5"/>
      <c r="QAI127" s="5"/>
      <c r="QAJ127" s="5"/>
      <c r="QAK127" s="5"/>
      <c r="QAL127" s="5"/>
      <c r="QAM127" s="5"/>
      <c r="QAN127" s="5"/>
      <c r="QAO127" s="5"/>
      <c r="QAP127" s="5"/>
      <c r="QAQ127" s="5"/>
      <c r="QAR127" s="5"/>
      <c r="QAS127" s="5"/>
      <c r="QAT127" s="5"/>
      <c r="QAU127" s="5"/>
      <c r="QAV127" s="5"/>
      <c r="QAW127" s="5"/>
      <c r="QAX127" s="5"/>
      <c r="QAY127" s="5"/>
      <c r="QAZ127" s="5"/>
      <c r="QBA127" s="5"/>
      <c r="QBB127" s="5"/>
      <c r="QBC127" s="5"/>
      <c r="QBD127" s="5"/>
      <c r="QBE127" s="5"/>
      <c r="QBF127" s="5"/>
      <c r="QBG127" s="5"/>
      <c r="QBH127" s="5"/>
      <c r="QBI127" s="5"/>
      <c r="QBJ127" s="5"/>
      <c r="QBK127" s="5"/>
      <c r="QBL127" s="5"/>
      <c r="QBM127" s="5"/>
      <c r="QBN127" s="5"/>
      <c r="QBO127" s="5"/>
      <c r="QBP127" s="5"/>
      <c r="QBQ127" s="5"/>
      <c r="QBR127" s="5"/>
      <c r="QBS127" s="5"/>
      <c r="QBT127" s="5"/>
      <c r="QBU127" s="5"/>
      <c r="QBV127" s="5"/>
      <c r="QBW127" s="5"/>
      <c r="QBX127" s="5"/>
      <c r="QBY127" s="5"/>
      <c r="QBZ127" s="5"/>
      <c r="QCA127" s="5"/>
      <c r="QCB127" s="5"/>
      <c r="QCC127" s="5"/>
      <c r="QCD127" s="5"/>
      <c r="QCE127" s="5"/>
      <c r="QCF127" s="5"/>
      <c r="QCG127" s="5"/>
      <c r="QCH127" s="5"/>
      <c r="QCI127" s="5"/>
      <c r="QCJ127" s="5"/>
      <c r="QCK127" s="5"/>
      <c r="QCL127" s="5"/>
      <c r="QCM127" s="5"/>
      <c r="QCN127" s="5"/>
      <c r="QCO127" s="5"/>
      <c r="QCP127" s="5"/>
      <c r="QCQ127" s="5"/>
      <c r="QCR127" s="5"/>
      <c r="QCS127" s="5"/>
      <c r="QCT127" s="5"/>
      <c r="QCU127" s="5"/>
      <c r="QCV127" s="5"/>
      <c r="QCW127" s="5"/>
      <c r="QCX127" s="5"/>
      <c r="QCY127" s="5"/>
      <c r="QCZ127" s="5"/>
      <c r="QDA127" s="5"/>
      <c r="QDB127" s="5"/>
      <c r="QDC127" s="5"/>
      <c r="QDD127" s="5"/>
      <c r="QDE127" s="5"/>
      <c r="QDF127" s="5"/>
      <c r="QDG127" s="5"/>
      <c r="QDH127" s="5"/>
      <c r="QDI127" s="5"/>
      <c r="QDJ127" s="5"/>
      <c r="QDK127" s="5"/>
      <c r="QDL127" s="5"/>
      <c r="QDM127" s="5"/>
      <c r="QDN127" s="5"/>
      <c r="QDO127" s="5"/>
      <c r="QDP127" s="5"/>
      <c r="QDQ127" s="5"/>
      <c r="QDR127" s="5"/>
      <c r="QDS127" s="5"/>
      <c r="QDT127" s="5"/>
      <c r="QDU127" s="5"/>
      <c r="QDV127" s="5"/>
      <c r="QDW127" s="5"/>
      <c r="QDX127" s="5"/>
      <c r="QDY127" s="5"/>
      <c r="QDZ127" s="5"/>
      <c r="QEA127" s="5"/>
      <c r="QEB127" s="5"/>
      <c r="QEC127" s="5"/>
      <c r="QED127" s="5"/>
      <c r="QEE127" s="5"/>
      <c r="QEF127" s="5"/>
      <c r="QEG127" s="5"/>
      <c r="QEH127" s="5"/>
      <c r="QEI127" s="5"/>
      <c r="QEJ127" s="5"/>
      <c r="QEK127" s="5"/>
      <c r="QEL127" s="5"/>
      <c r="QEM127" s="5"/>
      <c r="QEN127" s="5"/>
      <c r="QEO127" s="5"/>
      <c r="QEP127" s="5"/>
      <c r="QEQ127" s="5"/>
      <c r="QER127" s="5"/>
      <c r="QES127" s="5"/>
      <c r="QET127" s="5"/>
      <c r="QEU127" s="5"/>
      <c r="QEV127" s="5"/>
      <c r="QEW127" s="5"/>
      <c r="QEX127" s="5"/>
      <c r="QEY127" s="5"/>
      <c r="QEZ127" s="5"/>
      <c r="QFA127" s="5"/>
      <c r="QFB127" s="5"/>
      <c r="QFC127" s="5"/>
      <c r="QFD127" s="5"/>
      <c r="QFE127" s="5"/>
      <c r="QFF127" s="5"/>
      <c r="QFG127" s="5"/>
      <c r="QFH127" s="5"/>
      <c r="QFI127" s="5"/>
      <c r="QFJ127" s="5"/>
      <c r="QFK127" s="5"/>
      <c r="QFL127" s="5"/>
      <c r="QFM127" s="5"/>
      <c r="QFN127" s="5"/>
      <c r="QFO127" s="5"/>
      <c r="QFP127" s="5"/>
      <c r="QFQ127" s="5"/>
      <c r="QFR127" s="5"/>
      <c r="QFS127" s="5"/>
      <c r="QFT127" s="5"/>
      <c r="QFU127" s="5"/>
      <c r="QFV127" s="5"/>
      <c r="QFW127" s="5"/>
      <c r="QFX127" s="5"/>
      <c r="QFY127" s="5"/>
      <c r="QFZ127" s="5"/>
      <c r="QGA127" s="5"/>
      <c r="QGB127" s="5"/>
      <c r="QGC127" s="5"/>
      <c r="QGD127" s="5"/>
      <c r="QGE127" s="5"/>
      <c r="QGF127" s="5"/>
      <c r="QGG127" s="5"/>
      <c r="QGH127" s="5"/>
      <c r="QGI127" s="5"/>
      <c r="QGJ127" s="5"/>
      <c r="QGK127" s="5"/>
      <c r="QGL127" s="5"/>
      <c r="QGM127" s="5"/>
      <c r="QGN127" s="5"/>
      <c r="QGO127" s="5"/>
      <c r="QGP127" s="5"/>
      <c r="QGQ127" s="5"/>
      <c r="QGR127" s="5"/>
      <c r="QGS127" s="5"/>
      <c r="QGT127" s="5"/>
      <c r="QGU127" s="5"/>
      <c r="QGV127" s="5"/>
      <c r="QGW127" s="5"/>
      <c r="QGX127" s="5"/>
      <c r="QGY127" s="5"/>
      <c r="QGZ127" s="5"/>
      <c r="QHA127" s="5"/>
      <c r="QHB127" s="5"/>
      <c r="QHC127" s="5"/>
      <c r="QHD127" s="5"/>
      <c r="QHE127" s="5"/>
      <c r="QHF127" s="5"/>
      <c r="QHG127" s="5"/>
      <c r="QHH127" s="5"/>
      <c r="QHI127" s="5"/>
      <c r="QHJ127" s="5"/>
      <c r="QHK127" s="5"/>
      <c r="QHL127" s="5"/>
      <c r="QHM127" s="5"/>
      <c r="QHN127" s="5"/>
      <c r="QHO127" s="5"/>
      <c r="QHP127" s="5"/>
      <c r="QHQ127" s="5"/>
      <c r="QHR127" s="5"/>
      <c r="QHS127" s="5"/>
      <c r="QHT127" s="5"/>
      <c r="QHU127" s="5"/>
      <c r="QHV127" s="5"/>
      <c r="QHW127" s="5"/>
      <c r="QHX127" s="5"/>
      <c r="QHY127" s="5"/>
      <c r="QHZ127" s="5"/>
      <c r="QIA127" s="5"/>
      <c r="QIB127" s="5"/>
      <c r="QIC127" s="5"/>
      <c r="QID127" s="5"/>
      <c r="QIE127" s="5"/>
      <c r="QIF127" s="5"/>
      <c r="QIG127" s="5"/>
      <c r="QIH127" s="5"/>
      <c r="QII127" s="5"/>
      <c r="QIJ127" s="5"/>
      <c r="QIK127" s="5"/>
      <c r="QIL127" s="5"/>
      <c r="QIM127" s="5"/>
      <c r="QIN127" s="5"/>
      <c r="QIO127" s="5"/>
      <c r="QIP127" s="5"/>
      <c r="QIQ127" s="5"/>
      <c r="QIR127" s="5"/>
      <c r="QIS127" s="5"/>
      <c r="QIT127" s="5"/>
      <c r="QIU127" s="5"/>
      <c r="QIV127" s="5"/>
      <c r="QIW127" s="5"/>
      <c r="QIX127" s="5"/>
      <c r="QIY127" s="5"/>
      <c r="QIZ127" s="5"/>
      <c r="QJA127" s="5"/>
      <c r="QJB127" s="5"/>
      <c r="QJC127" s="5"/>
      <c r="QJD127" s="5"/>
      <c r="QJE127" s="5"/>
      <c r="QJF127" s="5"/>
      <c r="QJG127" s="5"/>
      <c r="QJH127" s="5"/>
      <c r="QJI127" s="5"/>
      <c r="QJJ127" s="5"/>
      <c r="QJK127" s="5"/>
      <c r="QJL127" s="5"/>
      <c r="QJM127" s="5"/>
      <c r="QJN127" s="5"/>
      <c r="QJO127" s="5"/>
      <c r="QJP127" s="5"/>
      <c r="QJQ127" s="5"/>
      <c r="QJR127" s="5"/>
      <c r="QJS127" s="5"/>
      <c r="QJT127" s="5"/>
      <c r="QJU127" s="5"/>
      <c r="QJV127" s="5"/>
      <c r="QJW127" s="5"/>
      <c r="QJX127" s="5"/>
      <c r="QJY127" s="5"/>
      <c r="QJZ127" s="5"/>
      <c r="QKA127" s="5"/>
      <c r="QKB127" s="5"/>
      <c r="QKC127" s="5"/>
      <c r="QKD127" s="5"/>
      <c r="QKE127" s="5"/>
      <c r="QKF127" s="5"/>
      <c r="QKG127" s="5"/>
      <c r="QKH127" s="5"/>
      <c r="QKI127" s="5"/>
      <c r="QKJ127" s="5"/>
      <c r="QKK127" s="5"/>
      <c r="QKL127" s="5"/>
      <c r="QKM127" s="5"/>
      <c r="QKN127" s="5"/>
      <c r="QKO127" s="5"/>
      <c r="QKP127" s="5"/>
      <c r="QKQ127" s="5"/>
      <c r="QKR127" s="5"/>
      <c r="QKS127" s="5"/>
      <c r="QKT127" s="5"/>
      <c r="QKU127" s="5"/>
      <c r="QKV127" s="5"/>
      <c r="QKW127" s="5"/>
      <c r="QKX127" s="5"/>
      <c r="QKY127" s="5"/>
      <c r="QKZ127" s="5"/>
      <c r="QLA127" s="5"/>
      <c r="QLB127" s="5"/>
      <c r="QLC127" s="5"/>
      <c r="QLD127" s="5"/>
      <c r="QLE127" s="5"/>
      <c r="QLF127" s="5"/>
      <c r="QLG127" s="5"/>
      <c r="QLH127" s="5"/>
      <c r="QLI127" s="5"/>
      <c r="QLJ127" s="5"/>
      <c r="QLK127" s="5"/>
      <c r="QLL127" s="5"/>
      <c r="QLM127" s="5"/>
      <c r="QLN127" s="5"/>
      <c r="QLO127" s="5"/>
      <c r="QLP127" s="5"/>
      <c r="QLQ127" s="5"/>
      <c r="QLR127" s="5"/>
      <c r="QLS127" s="5"/>
      <c r="QLT127" s="5"/>
      <c r="QLU127" s="5"/>
      <c r="QLV127" s="5"/>
      <c r="QLW127" s="5"/>
      <c r="QLX127" s="5"/>
      <c r="QLY127" s="5"/>
      <c r="QLZ127" s="5"/>
      <c r="QMA127" s="5"/>
      <c r="QMB127" s="5"/>
      <c r="QMC127" s="5"/>
      <c r="QMD127" s="5"/>
      <c r="QME127" s="5"/>
      <c r="QMF127" s="5"/>
      <c r="QMG127" s="5"/>
      <c r="QMH127" s="5"/>
      <c r="QMI127" s="5"/>
      <c r="QMJ127" s="5"/>
      <c r="QMK127" s="5"/>
      <c r="QML127" s="5"/>
      <c r="QMM127" s="5"/>
      <c r="QMN127" s="5"/>
      <c r="QMO127" s="5"/>
      <c r="QMP127" s="5"/>
      <c r="QMQ127" s="5"/>
      <c r="QMR127" s="5"/>
      <c r="QMS127" s="5"/>
      <c r="QMT127" s="5"/>
      <c r="QMU127" s="5"/>
      <c r="QMV127" s="5"/>
      <c r="QMW127" s="5"/>
      <c r="QMX127" s="5"/>
      <c r="QMY127" s="5"/>
      <c r="QMZ127" s="5"/>
      <c r="QNA127" s="5"/>
      <c r="QNB127" s="5"/>
      <c r="QNC127" s="5"/>
      <c r="QND127" s="5"/>
      <c r="QNE127" s="5"/>
      <c r="QNF127" s="5"/>
      <c r="QNG127" s="5"/>
      <c r="QNH127" s="5"/>
      <c r="QNI127" s="5"/>
      <c r="QNJ127" s="5"/>
      <c r="QNK127" s="5"/>
      <c r="QNL127" s="5"/>
      <c r="QNM127" s="5"/>
      <c r="QNN127" s="5"/>
      <c r="QNO127" s="5"/>
      <c r="QNP127" s="5"/>
      <c r="QNQ127" s="5"/>
      <c r="QNR127" s="5"/>
      <c r="QNS127" s="5"/>
      <c r="QNT127" s="5"/>
      <c r="QNU127" s="5"/>
      <c r="QNV127" s="5"/>
      <c r="QNW127" s="5"/>
      <c r="QNX127" s="5"/>
      <c r="QNY127" s="5"/>
      <c r="QNZ127" s="5"/>
      <c r="QOA127" s="5"/>
      <c r="QOB127" s="5"/>
      <c r="QOC127" s="5"/>
      <c r="QOD127" s="5"/>
      <c r="QOE127" s="5"/>
      <c r="QOF127" s="5"/>
      <c r="QOG127" s="5"/>
      <c r="QOH127" s="5"/>
      <c r="QOI127" s="5"/>
      <c r="QOJ127" s="5"/>
      <c r="QOK127" s="5"/>
      <c r="QOL127" s="5"/>
      <c r="QOM127" s="5"/>
      <c r="QON127" s="5"/>
      <c r="QOO127" s="5"/>
      <c r="QOP127" s="5"/>
      <c r="QOQ127" s="5"/>
      <c r="QOR127" s="5"/>
      <c r="QOS127" s="5"/>
      <c r="QOT127" s="5"/>
      <c r="QOU127" s="5"/>
      <c r="QOV127" s="5"/>
      <c r="QOW127" s="5"/>
      <c r="QOX127" s="5"/>
      <c r="QOY127" s="5"/>
      <c r="QOZ127" s="5"/>
      <c r="QPA127" s="5"/>
      <c r="QPB127" s="5"/>
      <c r="QPC127" s="5"/>
      <c r="QPD127" s="5"/>
      <c r="QPE127" s="5"/>
      <c r="QPF127" s="5"/>
      <c r="QPG127" s="5"/>
      <c r="QPH127" s="5"/>
      <c r="QPI127" s="5"/>
      <c r="QPJ127" s="5"/>
      <c r="QPK127" s="5"/>
      <c r="QPL127" s="5"/>
      <c r="QPM127" s="5"/>
      <c r="QPN127" s="5"/>
      <c r="QPO127" s="5"/>
      <c r="QPP127" s="5"/>
      <c r="QPQ127" s="5"/>
      <c r="QPR127" s="5"/>
      <c r="QPS127" s="5"/>
      <c r="QPT127" s="5"/>
      <c r="QPU127" s="5"/>
      <c r="QPV127" s="5"/>
      <c r="QPW127" s="5"/>
      <c r="QPX127" s="5"/>
      <c r="QPY127" s="5"/>
      <c r="QPZ127" s="5"/>
      <c r="QQA127" s="5"/>
      <c r="QQB127" s="5"/>
      <c r="QQC127" s="5"/>
      <c r="QQD127" s="5"/>
      <c r="QQE127" s="5"/>
      <c r="QQF127" s="5"/>
      <c r="QQG127" s="5"/>
      <c r="QQH127" s="5"/>
      <c r="QQI127" s="5"/>
      <c r="QQJ127" s="5"/>
      <c r="QQK127" s="5"/>
      <c r="QQL127" s="5"/>
      <c r="QQM127" s="5"/>
      <c r="QQN127" s="5"/>
      <c r="QQO127" s="5"/>
      <c r="QQP127" s="5"/>
      <c r="QQQ127" s="5"/>
      <c r="QQR127" s="5"/>
      <c r="QQS127" s="5"/>
      <c r="QQT127" s="5"/>
      <c r="QQU127" s="5"/>
      <c r="QQV127" s="5"/>
      <c r="QQW127" s="5"/>
      <c r="QQX127" s="5"/>
      <c r="QQY127" s="5"/>
      <c r="QQZ127" s="5"/>
      <c r="QRA127" s="5"/>
      <c r="QRB127" s="5"/>
      <c r="QRC127" s="5"/>
      <c r="QRD127" s="5"/>
      <c r="QRE127" s="5"/>
      <c r="QRF127" s="5"/>
      <c r="QRG127" s="5"/>
      <c r="QRH127" s="5"/>
      <c r="QRI127" s="5"/>
      <c r="QRJ127" s="5"/>
      <c r="QRK127" s="5"/>
      <c r="QRL127" s="5"/>
      <c r="QRM127" s="5"/>
      <c r="QRN127" s="5"/>
      <c r="QRO127" s="5"/>
      <c r="QRP127" s="5"/>
      <c r="QRQ127" s="5"/>
      <c r="QRR127" s="5"/>
      <c r="QRS127" s="5"/>
      <c r="QRT127" s="5"/>
      <c r="QRU127" s="5"/>
      <c r="QRV127" s="5"/>
      <c r="QRW127" s="5"/>
      <c r="QRX127" s="5"/>
      <c r="QRY127" s="5"/>
      <c r="QRZ127" s="5"/>
      <c r="QSA127" s="5"/>
      <c r="QSB127" s="5"/>
      <c r="QSC127" s="5"/>
      <c r="QSD127" s="5"/>
      <c r="QSE127" s="5"/>
      <c r="QSF127" s="5"/>
      <c r="QSG127" s="5"/>
      <c r="QSH127" s="5"/>
      <c r="QSI127" s="5"/>
      <c r="QSJ127" s="5"/>
      <c r="QSK127" s="5"/>
      <c r="QSL127" s="5"/>
      <c r="QSM127" s="5"/>
      <c r="QSN127" s="5"/>
      <c r="QSO127" s="5"/>
      <c r="QSP127" s="5"/>
      <c r="QSQ127" s="5"/>
      <c r="QSR127" s="5"/>
      <c r="QSS127" s="5"/>
      <c r="QST127" s="5"/>
      <c r="QSU127" s="5"/>
      <c r="QSV127" s="5"/>
      <c r="QSW127" s="5"/>
      <c r="QSX127" s="5"/>
      <c r="QSY127" s="5"/>
      <c r="QSZ127" s="5"/>
      <c r="QTA127" s="5"/>
      <c r="QTB127" s="5"/>
      <c r="QTC127" s="5"/>
      <c r="QTD127" s="5"/>
      <c r="QTE127" s="5"/>
      <c r="QTF127" s="5"/>
      <c r="QTG127" s="5"/>
      <c r="QTH127" s="5"/>
      <c r="QTI127" s="5"/>
      <c r="QTJ127" s="5"/>
      <c r="QTK127" s="5"/>
      <c r="QTL127" s="5"/>
      <c r="QTM127" s="5"/>
      <c r="QTN127" s="5"/>
      <c r="QTO127" s="5"/>
      <c r="QTP127" s="5"/>
      <c r="QTQ127" s="5"/>
      <c r="QTR127" s="5"/>
      <c r="QTS127" s="5"/>
      <c r="QTT127" s="5"/>
      <c r="QTU127" s="5"/>
      <c r="QTV127" s="5"/>
      <c r="QTW127" s="5"/>
      <c r="QTX127" s="5"/>
      <c r="QTY127" s="5"/>
      <c r="QTZ127" s="5"/>
      <c r="QUA127" s="5"/>
      <c r="QUB127" s="5"/>
      <c r="QUC127" s="5"/>
      <c r="QUD127" s="5"/>
      <c r="QUE127" s="5"/>
      <c r="QUF127" s="5"/>
      <c r="QUG127" s="5"/>
      <c r="QUH127" s="5"/>
      <c r="QUI127" s="5"/>
      <c r="QUJ127" s="5"/>
      <c r="QUK127" s="5"/>
      <c r="QUL127" s="5"/>
      <c r="QUM127" s="5"/>
      <c r="QUN127" s="5"/>
      <c r="QUO127" s="5"/>
      <c r="QUP127" s="5"/>
      <c r="QUQ127" s="5"/>
      <c r="QUR127" s="5"/>
      <c r="QUS127" s="5"/>
      <c r="QUT127" s="5"/>
      <c r="QUU127" s="5"/>
      <c r="QUV127" s="5"/>
      <c r="QUW127" s="5"/>
      <c r="QUX127" s="5"/>
      <c r="QUY127" s="5"/>
      <c r="QUZ127" s="5"/>
      <c r="QVA127" s="5"/>
      <c r="QVB127" s="5"/>
      <c r="QVC127" s="5"/>
      <c r="QVD127" s="5"/>
      <c r="QVE127" s="5"/>
      <c r="QVF127" s="5"/>
      <c r="QVG127" s="5"/>
      <c r="QVH127" s="5"/>
      <c r="QVI127" s="5"/>
      <c r="QVJ127" s="5"/>
      <c r="QVK127" s="5"/>
      <c r="QVL127" s="5"/>
      <c r="QVM127" s="5"/>
      <c r="QVN127" s="5"/>
      <c r="QVO127" s="5"/>
      <c r="QVP127" s="5"/>
      <c r="QVQ127" s="5"/>
      <c r="QVR127" s="5"/>
      <c r="QVS127" s="5"/>
      <c r="QVT127" s="5"/>
      <c r="QVU127" s="5"/>
      <c r="QVV127" s="5"/>
      <c r="QVW127" s="5"/>
      <c r="QVX127" s="5"/>
      <c r="QVY127" s="5"/>
      <c r="QVZ127" s="5"/>
      <c r="QWA127" s="5"/>
      <c r="QWB127" s="5"/>
      <c r="QWC127" s="5"/>
      <c r="QWD127" s="5"/>
      <c r="QWE127" s="5"/>
      <c r="QWF127" s="5"/>
      <c r="QWG127" s="5"/>
      <c r="QWH127" s="5"/>
      <c r="QWI127" s="5"/>
      <c r="QWJ127" s="5"/>
      <c r="QWK127" s="5"/>
      <c r="QWL127" s="5"/>
      <c r="QWM127" s="5"/>
      <c r="QWN127" s="5"/>
      <c r="QWO127" s="5"/>
      <c r="QWP127" s="5"/>
      <c r="QWQ127" s="5"/>
      <c r="QWR127" s="5"/>
      <c r="QWS127" s="5"/>
      <c r="QWT127" s="5"/>
      <c r="QWU127" s="5"/>
      <c r="QWV127" s="5"/>
      <c r="QWW127" s="5"/>
      <c r="QWX127" s="5"/>
      <c r="QWY127" s="5"/>
      <c r="QWZ127" s="5"/>
      <c r="QXA127" s="5"/>
      <c r="QXB127" s="5"/>
      <c r="QXC127" s="5"/>
      <c r="QXD127" s="5"/>
      <c r="QXE127" s="5"/>
      <c r="QXF127" s="5"/>
      <c r="QXG127" s="5"/>
      <c r="QXH127" s="5"/>
      <c r="QXI127" s="5"/>
      <c r="QXJ127" s="5"/>
      <c r="QXK127" s="5"/>
      <c r="QXL127" s="5"/>
      <c r="QXM127" s="5"/>
      <c r="QXN127" s="5"/>
      <c r="QXO127" s="5"/>
      <c r="QXP127" s="5"/>
      <c r="QXQ127" s="5"/>
      <c r="QXR127" s="5"/>
      <c r="QXS127" s="5"/>
      <c r="QXT127" s="5"/>
      <c r="QXU127" s="5"/>
      <c r="QXV127" s="5"/>
      <c r="QXW127" s="5"/>
      <c r="QXX127" s="5"/>
      <c r="QXY127" s="5"/>
      <c r="QXZ127" s="5"/>
      <c r="QYA127" s="5"/>
      <c r="QYB127" s="5"/>
      <c r="QYC127" s="5"/>
      <c r="QYD127" s="5"/>
      <c r="QYE127" s="5"/>
      <c r="QYF127" s="5"/>
      <c r="QYG127" s="5"/>
      <c r="QYH127" s="5"/>
      <c r="QYI127" s="5"/>
      <c r="QYJ127" s="5"/>
      <c r="QYK127" s="5"/>
      <c r="QYL127" s="5"/>
      <c r="QYM127" s="5"/>
      <c r="QYN127" s="5"/>
      <c r="QYO127" s="5"/>
      <c r="QYP127" s="5"/>
      <c r="QYQ127" s="5"/>
      <c r="QYR127" s="5"/>
      <c r="QYS127" s="5"/>
      <c r="QYT127" s="5"/>
      <c r="QYU127" s="5"/>
      <c r="QYV127" s="5"/>
      <c r="QYW127" s="5"/>
      <c r="QYX127" s="5"/>
      <c r="QYY127" s="5"/>
      <c r="QYZ127" s="5"/>
      <c r="QZA127" s="5"/>
      <c r="QZB127" s="5"/>
      <c r="QZC127" s="5"/>
      <c r="QZD127" s="5"/>
      <c r="QZE127" s="5"/>
      <c r="QZF127" s="5"/>
      <c r="QZG127" s="5"/>
      <c r="QZH127" s="5"/>
      <c r="QZI127" s="5"/>
      <c r="QZJ127" s="5"/>
      <c r="QZK127" s="5"/>
      <c r="QZL127" s="5"/>
      <c r="QZM127" s="5"/>
      <c r="QZN127" s="5"/>
      <c r="QZO127" s="5"/>
      <c r="QZP127" s="5"/>
      <c r="QZQ127" s="5"/>
      <c r="QZR127" s="5"/>
      <c r="QZS127" s="5"/>
      <c r="QZT127" s="5"/>
      <c r="QZU127" s="5"/>
      <c r="QZV127" s="5"/>
      <c r="QZW127" s="5"/>
      <c r="QZX127" s="5"/>
      <c r="QZY127" s="5"/>
      <c r="QZZ127" s="5"/>
      <c r="RAA127" s="5"/>
      <c r="RAB127" s="5"/>
      <c r="RAC127" s="5"/>
      <c r="RAD127" s="5"/>
      <c r="RAE127" s="5"/>
      <c r="RAF127" s="5"/>
      <c r="RAG127" s="5"/>
      <c r="RAH127" s="5"/>
      <c r="RAI127" s="5"/>
      <c r="RAJ127" s="5"/>
      <c r="RAK127" s="5"/>
      <c r="RAL127" s="5"/>
      <c r="RAM127" s="5"/>
      <c r="RAN127" s="5"/>
      <c r="RAO127" s="5"/>
      <c r="RAP127" s="5"/>
      <c r="RAQ127" s="5"/>
      <c r="RAR127" s="5"/>
      <c r="RAS127" s="5"/>
      <c r="RAT127" s="5"/>
      <c r="RAU127" s="5"/>
      <c r="RAV127" s="5"/>
      <c r="RAW127" s="5"/>
      <c r="RAX127" s="5"/>
      <c r="RAY127" s="5"/>
      <c r="RAZ127" s="5"/>
      <c r="RBA127" s="5"/>
      <c r="RBB127" s="5"/>
      <c r="RBC127" s="5"/>
      <c r="RBD127" s="5"/>
      <c r="RBE127" s="5"/>
      <c r="RBF127" s="5"/>
      <c r="RBG127" s="5"/>
      <c r="RBH127" s="5"/>
      <c r="RBI127" s="5"/>
      <c r="RBJ127" s="5"/>
      <c r="RBK127" s="5"/>
      <c r="RBL127" s="5"/>
      <c r="RBM127" s="5"/>
      <c r="RBN127" s="5"/>
      <c r="RBO127" s="5"/>
      <c r="RBP127" s="5"/>
      <c r="RBQ127" s="5"/>
      <c r="RBR127" s="5"/>
      <c r="RBS127" s="5"/>
      <c r="RBT127" s="5"/>
      <c r="RBU127" s="5"/>
      <c r="RBV127" s="5"/>
      <c r="RBW127" s="5"/>
      <c r="RBX127" s="5"/>
      <c r="RBY127" s="5"/>
      <c r="RBZ127" s="5"/>
      <c r="RCA127" s="5"/>
      <c r="RCB127" s="5"/>
      <c r="RCC127" s="5"/>
      <c r="RCD127" s="5"/>
      <c r="RCE127" s="5"/>
      <c r="RCF127" s="5"/>
      <c r="RCG127" s="5"/>
      <c r="RCH127" s="5"/>
      <c r="RCI127" s="5"/>
      <c r="RCJ127" s="5"/>
      <c r="RCK127" s="5"/>
      <c r="RCL127" s="5"/>
      <c r="RCM127" s="5"/>
      <c r="RCN127" s="5"/>
      <c r="RCO127" s="5"/>
      <c r="RCP127" s="5"/>
      <c r="RCQ127" s="5"/>
      <c r="RCR127" s="5"/>
      <c r="RCS127" s="5"/>
      <c r="RCT127" s="5"/>
      <c r="RCU127" s="5"/>
      <c r="RCV127" s="5"/>
      <c r="RCW127" s="5"/>
      <c r="RCX127" s="5"/>
      <c r="RCY127" s="5"/>
      <c r="RCZ127" s="5"/>
      <c r="RDA127" s="5"/>
      <c r="RDB127" s="5"/>
      <c r="RDC127" s="5"/>
      <c r="RDD127" s="5"/>
      <c r="RDE127" s="5"/>
      <c r="RDF127" s="5"/>
      <c r="RDG127" s="5"/>
      <c r="RDH127" s="5"/>
      <c r="RDI127" s="5"/>
      <c r="RDJ127" s="5"/>
      <c r="RDK127" s="5"/>
      <c r="RDL127" s="5"/>
      <c r="RDM127" s="5"/>
      <c r="RDN127" s="5"/>
      <c r="RDO127" s="5"/>
      <c r="RDP127" s="5"/>
      <c r="RDQ127" s="5"/>
      <c r="RDR127" s="5"/>
      <c r="RDS127" s="5"/>
      <c r="RDT127" s="5"/>
      <c r="RDU127" s="5"/>
      <c r="RDV127" s="5"/>
      <c r="RDW127" s="5"/>
      <c r="RDX127" s="5"/>
      <c r="RDY127" s="5"/>
      <c r="RDZ127" s="5"/>
      <c r="REA127" s="5"/>
      <c r="REB127" s="5"/>
      <c r="REC127" s="5"/>
      <c r="RED127" s="5"/>
      <c r="REE127" s="5"/>
      <c r="REF127" s="5"/>
      <c r="REG127" s="5"/>
      <c r="REH127" s="5"/>
      <c r="REI127" s="5"/>
      <c r="REJ127" s="5"/>
      <c r="REK127" s="5"/>
      <c r="REL127" s="5"/>
      <c r="REM127" s="5"/>
      <c r="REN127" s="5"/>
      <c r="REO127" s="5"/>
      <c r="REP127" s="5"/>
      <c r="REQ127" s="5"/>
      <c r="RER127" s="5"/>
      <c r="RES127" s="5"/>
      <c r="RET127" s="5"/>
      <c r="REU127" s="5"/>
      <c r="REV127" s="5"/>
      <c r="REW127" s="5"/>
      <c r="REX127" s="5"/>
      <c r="REY127" s="5"/>
      <c r="REZ127" s="5"/>
      <c r="RFA127" s="5"/>
      <c r="RFB127" s="5"/>
      <c r="RFC127" s="5"/>
      <c r="RFD127" s="5"/>
      <c r="RFE127" s="5"/>
      <c r="RFF127" s="5"/>
      <c r="RFG127" s="5"/>
      <c r="RFH127" s="5"/>
      <c r="RFI127" s="5"/>
      <c r="RFJ127" s="5"/>
      <c r="RFK127" s="5"/>
      <c r="RFL127" s="5"/>
      <c r="RFM127" s="5"/>
      <c r="RFN127" s="5"/>
      <c r="RFO127" s="5"/>
      <c r="RFP127" s="5"/>
      <c r="RFQ127" s="5"/>
      <c r="RFR127" s="5"/>
      <c r="RFS127" s="5"/>
      <c r="RFT127" s="5"/>
      <c r="RFU127" s="5"/>
      <c r="RFV127" s="5"/>
      <c r="RFW127" s="5"/>
      <c r="RFX127" s="5"/>
      <c r="RFY127" s="5"/>
      <c r="RFZ127" s="5"/>
      <c r="RGA127" s="5"/>
      <c r="RGB127" s="5"/>
      <c r="RGC127" s="5"/>
      <c r="RGD127" s="5"/>
      <c r="RGE127" s="5"/>
      <c r="RGF127" s="5"/>
      <c r="RGG127" s="5"/>
      <c r="RGH127" s="5"/>
      <c r="RGI127" s="5"/>
      <c r="RGJ127" s="5"/>
      <c r="RGK127" s="5"/>
      <c r="RGL127" s="5"/>
      <c r="RGM127" s="5"/>
      <c r="RGN127" s="5"/>
      <c r="RGO127" s="5"/>
      <c r="RGP127" s="5"/>
      <c r="RGQ127" s="5"/>
      <c r="RGR127" s="5"/>
      <c r="RGS127" s="5"/>
      <c r="RGT127" s="5"/>
      <c r="RGU127" s="5"/>
      <c r="RGV127" s="5"/>
      <c r="RGW127" s="5"/>
      <c r="RGX127" s="5"/>
      <c r="RGY127" s="5"/>
      <c r="RGZ127" s="5"/>
      <c r="RHA127" s="5"/>
      <c r="RHB127" s="5"/>
      <c r="RHC127" s="5"/>
      <c r="RHD127" s="5"/>
      <c r="RHE127" s="5"/>
      <c r="RHF127" s="5"/>
      <c r="RHG127" s="5"/>
      <c r="RHH127" s="5"/>
      <c r="RHI127" s="5"/>
      <c r="RHJ127" s="5"/>
      <c r="RHK127" s="5"/>
      <c r="RHL127" s="5"/>
      <c r="RHM127" s="5"/>
      <c r="RHN127" s="5"/>
      <c r="RHO127" s="5"/>
      <c r="RHP127" s="5"/>
      <c r="RHQ127" s="5"/>
      <c r="RHR127" s="5"/>
      <c r="RHS127" s="5"/>
      <c r="RHT127" s="5"/>
      <c r="RHU127" s="5"/>
      <c r="RHV127" s="5"/>
      <c r="RHW127" s="5"/>
      <c r="RHX127" s="5"/>
      <c r="RHY127" s="5"/>
      <c r="RHZ127" s="5"/>
      <c r="RIA127" s="5"/>
      <c r="RIB127" s="5"/>
      <c r="RIC127" s="5"/>
      <c r="RID127" s="5"/>
      <c r="RIE127" s="5"/>
      <c r="RIF127" s="5"/>
      <c r="RIG127" s="5"/>
      <c r="RIH127" s="5"/>
      <c r="RII127" s="5"/>
      <c r="RIJ127" s="5"/>
      <c r="RIK127" s="5"/>
      <c r="RIL127" s="5"/>
      <c r="RIM127" s="5"/>
      <c r="RIN127" s="5"/>
      <c r="RIO127" s="5"/>
      <c r="RIP127" s="5"/>
      <c r="RIQ127" s="5"/>
      <c r="RIR127" s="5"/>
      <c r="RIS127" s="5"/>
      <c r="RIT127" s="5"/>
      <c r="RIU127" s="5"/>
      <c r="RIV127" s="5"/>
      <c r="RIW127" s="5"/>
      <c r="RIX127" s="5"/>
      <c r="RIY127" s="5"/>
      <c r="RIZ127" s="5"/>
      <c r="RJA127" s="5"/>
      <c r="RJB127" s="5"/>
      <c r="RJC127" s="5"/>
      <c r="RJD127" s="5"/>
      <c r="RJE127" s="5"/>
      <c r="RJF127" s="5"/>
      <c r="RJG127" s="5"/>
      <c r="RJH127" s="5"/>
      <c r="RJI127" s="5"/>
      <c r="RJJ127" s="5"/>
      <c r="RJK127" s="5"/>
      <c r="RJL127" s="5"/>
      <c r="RJM127" s="5"/>
      <c r="RJN127" s="5"/>
      <c r="RJO127" s="5"/>
      <c r="RJP127" s="5"/>
      <c r="RJQ127" s="5"/>
      <c r="RJR127" s="5"/>
      <c r="RJS127" s="5"/>
      <c r="RJT127" s="5"/>
      <c r="RJU127" s="5"/>
      <c r="RJV127" s="5"/>
      <c r="RJW127" s="5"/>
      <c r="RJX127" s="5"/>
      <c r="RJY127" s="5"/>
      <c r="RJZ127" s="5"/>
      <c r="RKA127" s="5"/>
      <c r="RKB127" s="5"/>
      <c r="RKC127" s="5"/>
      <c r="RKD127" s="5"/>
      <c r="RKE127" s="5"/>
      <c r="RKF127" s="5"/>
      <c r="RKG127" s="5"/>
      <c r="RKH127" s="5"/>
      <c r="RKI127" s="5"/>
      <c r="RKJ127" s="5"/>
      <c r="RKK127" s="5"/>
      <c r="RKL127" s="5"/>
      <c r="RKM127" s="5"/>
      <c r="RKN127" s="5"/>
      <c r="RKO127" s="5"/>
      <c r="RKP127" s="5"/>
      <c r="RKQ127" s="5"/>
      <c r="RKR127" s="5"/>
      <c r="RKS127" s="5"/>
      <c r="RKT127" s="5"/>
      <c r="RKU127" s="5"/>
      <c r="RKV127" s="5"/>
      <c r="RKW127" s="5"/>
      <c r="RKX127" s="5"/>
      <c r="RKY127" s="5"/>
      <c r="RKZ127" s="5"/>
      <c r="RLA127" s="5"/>
      <c r="RLB127" s="5"/>
      <c r="RLC127" s="5"/>
      <c r="RLD127" s="5"/>
      <c r="RLE127" s="5"/>
      <c r="RLF127" s="5"/>
      <c r="RLG127" s="5"/>
      <c r="RLH127" s="5"/>
      <c r="RLI127" s="5"/>
      <c r="RLJ127" s="5"/>
      <c r="RLK127" s="5"/>
      <c r="RLL127" s="5"/>
      <c r="RLM127" s="5"/>
      <c r="RLN127" s="5"/>
      <c r="RLO127" s="5"/>
      <c r="RLP127" s="5"/>
      <c r="RLQ127" s="5"/>
      <c r="RLR127" s="5"/>
      <c r="RLS127" s="5"/>
      <c r="RLT127" s="5"/>
      <c r="RLU127" s="5"/>
      <c r="RLV127" s="5"/>
      <c r="RLW127" s="5"/>
      <c r="RLX127" s="5"/>
      <c r="RLY127" s="5"/>
      <c r="RLZ127" s="5"/>
      <c r="RMA127" s="5"/>
      <c r="RMB127" s="5"/>
      <c r="RMC127" s="5"/>
      <c r="RMD127" s="5"/>
      <c r="RME127" s="5"/>
      <c r="RMF127" s="5"/>
      <c r="RMG127" s="5"/>
      <c r="RMH127" s="5"/>
      <c r="RMI127" s="5"/>
      <c r="RMJ127" s="5"/>
      <c r="RMK127" s="5"/>
      <c r="RML127" s="5"/>
      <c r="RMM127" s="5"/>
      <c r="RMN127" s="5"/>
      <c r="RMO127" s="5"/>
      <c r="RMP127" s="5"/>
      <c r="RMQ127" s="5"/>
      <c r="RMR127" s="5"/>
      <c r="RMS127" s="5"/>
      <c r="RMT127" s="5"/>
      <c r="RMU127" s="5"/>
      <c r="RMV127" s="5"/>
      <c r="RMW127" s="5"/>
      <c r="RMX127" s="5"/>
      <c r="RMY127" s="5"/>
      <c r="RMZ127" s="5"/>
      <c r="RNA127" s="5"/>
      <c r="RNB127" s="5"/>
      <c r="RNC127" s="5"/>
      <c r="RND127" s="5"/>
      <c r="RNE127" s="5"/>
      <c r="RNF127" s="5"/>
      <c r="RNG127" s="5"/>
      <c r="RNH127" s="5"/>
      <c r="RNI127" s="5"/>
      <c r="RNJ127" s="5"/>
      <c r="RNK127" s="5"/>
      <c r="RNL127" s="5"/>
      <c r="RNM127" s="5"/>
      <c r="RNN127" s="5"/>
      <c r="RNO127" s="5"/>
      <c r="RNP127" s="5"/>
      <c r="RNQ127" s="5"/>
      <c r="RNR127" s="5"/>
      <c r="RNS127" s="5"/>
      <c r="RNT127" s="5"/>
      <c r="RNU127" s="5"/>
      <c r="RNV127" s="5"/>
      <c r="RNW127" s="5"/>
      <c r="RNX127" s="5"/>
      <c r="RNY127" s="5"/>
      <c r="RNZ127" s="5"/>
      <c r="ROA127" s="5"/>
      <c r="ROB127" s="5"/>
      <c r="ROC127" s="5"/>
      <c r="ROD127" s="5"/>
      <c r="ROE127" s="5"/>
      <c r="ROF127" s="5"/>
      <c r="ROG127" s="5"/>
      <c r="ROH127" s="5"/>
      <c r="ROI127" s="5"/>
      <c r="ROJ127" s="5"/>
      <c r="ROK127" s="5"/>
      <c r="ROL127" s="5"/>
      <c r="ROM127" s="5"/>
      <c r="RON127" s="5"/>
      <c r="ROO127" s="5"/>
      <c r="ROP127" s="5"/>
      <c r="ROQ127" s="5"/>
      <c r="ROR127" s="5"/>
      <c r="ROS127" s="5"/>
      <c r="ROT127" s="5"/>
      <c r="ROU127" s="5"/>
      <c r="ROV127" s="5"/>
      <c r="ROW127" s="5"/>
      <c r="ROX127" s="5"/>
      <c r="ROY127" s="5"/>
      <c r="ROZ127" s="5"/>
      <c r="RPA127" s="5"/>
      <c r="RPB127" s="5"/>
      <c r="RPC127" s="5"/>
      <c r="RPD127" s="5"/>
      <c r="RPE127" s="5"/>
      <c r="RPF127" s="5"/>
      <c r="RPG127" s="5"/>
      <c r="RPH127" s="5"/>
      <c r="RPI127" s="5"/>
      <c r="RPJ127" s="5"/>
      <c r="RPK127" s="5"/>
      <c r="RPL127" s="5"/>
      <c r="RPM127" s="5"/>
      <c r="RPN127" s="5"/>
      <c r="RPO127" s="5"/>
      <c r="RPP127" s="5"/>
      <c r="RPQ127" s="5"/>
      <c r="RPR127" s="5"/>
      <c r="RPS127" s="5"/>
      <c r="RPT127" s="5"/>
      <c r="RPU127" s="5"/>
      <c r="RPV127" s="5"/>
      <c r="RPW127" s="5"/>
      <c r="RPX127" s="5"/>
      <c r="RPY127" s="5"/>
      <c r="RPZ127" s="5"/>
      <c r="RQA127" s="5"/>
      <c r="RQB127" s="5"/>
      <c r="RQC127" s="5"/>
      <c r="RQD127" s="5"/>
      <c r="RQE127" s="5"/>
      <c r="RQF127" s="5"/>
      <c r="RQG127" s="5"/>
      <c r="RQH127" s="5"/>
      <c r="RQI127" s="5"/>
      <c r="RQJ127" s="5"/>
      <c r="RQK127" s="5"/>
      <c r="RQL127" s="5"/>
      <c r="RQM127" s="5"/>
      <c r="RQN127" s="5"/>
      <c r="RQO127" s="5"/>
      <c r="RQP127" s="5"/>
      <c r="RQQ127" s="5"/>
      <c r="RQR127" s="5"/>
      <c r="RQS127" s="5"/>
      <c r="RQT127" s="5"/>
      <c r="RQU127" s="5"/>
      <c r="RQV127" s="5"/>
      <c r="RQW127" s="5"/>
      <c r="RQX127" s="5"/>
      <c r="RQY127" s="5"/>
      <c r="RQZ127" s="5"/>
      <c r="RRA127" s="5"/>
      <c r="RRB127" s="5"/>
      <c r="RRC127" s="5"/>
      <c r="RRD127" s="5"/>
      <c r="RRE127" s="5"/>
      <c r="RRF127" s="5"/>
      <c r="RRG127" s="5"/>
      <c r="RRH127" s="5"/>
      <c r="RRI127" s="5"/>
      <c r="RRJ127" s="5"/>
      <c r="RRK127" s="5"/>
      <c r="RRL127" s="5"/>
      <c r="RRM127" s="5"/>
      <c r="RRN127" s="5"/>
      <c r="RRO127" s="5"/>
      <c r="RRP127" s="5"/>
      <c r="RRQ127" s="5"/>
      <c r="RRR127" s="5"/>
      <c r="RRS127" s="5"/>
      <c r="RRT127" s="5"/>
      <c r="RRU127" s="5"/>
      <c r="RRV127" s="5"/>
      <c r="RRW127" s="5"/>
      <c r="RRX127" s="5"/>
      <c r="RRY127" s="5"/>
      <c r="RRZ127" s="5"/>
      <c r="RSA127" s="5"/>
      <c r="RSB127" s="5"/>
      <c r="RSC127" s="5"/>
      <c r="RSD127" s="5"/>
      <c r="RSE127" s="5"/>
      <c r="RSF127" s="5"/>
      <c r="RSG127" s="5"/>
      <c r="RSH127" s="5"/>
      <c r="RSI127" s="5"/>
      <c r="RSJ127" s="5"/>
      <c r="RSK127" s="5"/>
      <c r="RSL127" s="5"/>
      <c r="RSM127" s="5"/>
      <c r="RSN127" s="5"/>
      <c r="RSO127" s="5"/>
      <c r="RSP127" s="5"/>
      <c r="RSQ127" s="5"/>
      <c r="RSR127" s="5"/>
      <c r="RSS127" s="5"/>
      <c r="RST127" s="5"/>
      <c r="RSU127" s="5"/>
      <c r="RSV127" s="5"/>
      <c r="RSW127" s="5"/>
      <c r="RSX127" s="5"/>
      <c r="RSY127" s="5"/>
      <c r="RSZ127" s="5"/>
      <c r="RTA127" s="5"/>
      <c r="RTB127" s="5"/>
      <c r="RTC127" s="5"/>
      <c r="RTD127" s="5"/>
      <c r="RTE127" s="5"/>
      <c r="RTF127" s="5"/>
      <c r="RTG127" s="5"/>
      <c r="RTH127" s="5"/>
      <c r="RTI127" s="5"/>
      <c r="RTJ127" s="5"/>
      <c r="RTK127" s="5"/>
      <c r="RTL127" s="5"/>
      <c r="RTM127" s="5"/>
      <c r="RTN127" s="5"/>
      <c r="RTO127" s="5"/>
      <c r="RTP127" s="5"/>
      <c r="RTQ127" s="5"/>
      <c r="RTR127" s="5"/>
      <c r="RTS127" s="5"/>
      <c r="RTT127" s="5"/>
      <c r="RTU127" s="5"/>
      <c r="RTV127" s="5"/>
      <c r="RTW127" s="5"/>
      <c r="RTX127" s="5"/>
      <c r="RTY127" s="5"/>
      <c r="RTZ127" s="5"/>
      <c r="RUA127" s="5"/>
      <c r="RUB127" s="5"/>
      <c r="RUC127" s="5"/>
      <c r="RUD127" s="5"/>
      <c r="RUE127" s="5"/>
      <c r="RUF127" s="5"/>
      <c r="RUG127" s="5"/>
      <c r="RUH127" s="5"/>
      <c r="RUI127" s="5"/>
      <c r="RUJ127" s="5"/>
      <c r="RUK127" s="5"/>
      <c r="RUL127" s="5"/>
      <c r="RUM127" s="5"/>
      <c r="RUN127" s="5"/>
      <c r="RUO127" s="5"/>
      <c r="RUP127" s="5"/>
      <c r="RUQ127" s="5"/>
      <c r="RUR127" s="5"/>
      <c r="RUS127" s="5"/>
      <c r="RUT127" s="5"/>
      <c r="RUU127" s="5"/>
      <c r="RUV127" s="5"/>
      <c r="RUW127" s="5"/>
      <c r="RUX127" s="5"/>
      <c r="RUY127" s="5"/>
      <c r="RUZ127" s="5"/>
      <c r="RVA127" s="5"/>
      <c r="RVB127" s="5"/>
      <c r="RVC127" s="5"/>
      <c r="RVD127" s="5"/>
      <c r="RVE127" s="5"/>
      <c r="RVF127" s="5"/>
      <c r="RVG127" s="5"/>
      <c r="RVH127" s="5"/>
      <c r="RVI127" s="5"/>
      <c r="RVJ127" s="5"/>
      <c r="RVK127" s="5"/>
      <c r="RVL127" s="5"/>
      <c r="RVM127" s="5"/>
      <c r="RVN127" s="5"/>
      <c r="RVO127" s="5"/>
      <c r="RVP127" s="5"/>
      <c r="RVQ127" s="5"/>
      <c r="RVR127" s="5"/>
      <c r="RVS127" s="5"/>
      <c r="RVT127" s="5"/>
      <c r="RVU127" s="5"/>
      <c r="RVV127" s="5"/>
      <c r="RVW127" s="5"/>
      <c r="RVX127" s="5"/>
      <c r="RVY127" s="5"/>
      <c r="RVZ127" s="5"/>
      <c r="RWA127" s="5"/>
      <c r="RWB127" s="5"/>
      <c r="RWC127" s="5"/>
      <c r="RWD127" s="5"/>
      <c r="RWE127" s="5"/>
      <c r="RWF127" s="5"/>
      <c r="RWG127" s="5"/>
      <c r="RWH127" s="5"/>
      <c r="RWI127" s="5"/>
      <c r="RWJ127" s="5"/>
      <c r="RWK127" s="5"/>
      <c r="RWL127" s="5"/>
      <c r="RWM127" s="5"/>
      <c r="RWN127" s="5"/>
      <c r="RWO127" s="5"/>
      <c r="RWP127" s="5"/>
      <c r="RWQ127" s="5"/>
      <c r="RWR127" s="5"/>
      <c r="RWS127" s="5"/>
      <c r="RWT127" s="5"/>
      <c r="RWU127" s="5"/>
      <c r="RWV127" s="5"/>
      <c r="RWW127" s="5"/>
      <c r="RWX127" s="5"/>
      <c r="RWY127" s="5"/>
      <c r="RWZ127" s="5"/>
      <c r="RXA127" s="5"/>
      <c r="RXB127" s="5"/>
      <c r="RXC127" s="5"/>
      <c r="RXD127" s="5"/>
      <c r="RXE127" s="5"/>
      <c r="RXF127" s="5"/>
      <c r="RXG127" s="5"/>
      <c r="RXH127" s="5"/>
      <c r="RXI127" s="5"/>
      <c r="RXJ127" s="5"/>
      <c r="RXK127" s="5"/>
      <c r="RXL127" s="5"/>
      <c r="RXM127" s="5"/>
      <c r="RXN127" s="5"/>
      <c r="RXO127" s="5"/>
      <c r="RXP127" s="5"/>
      <c r="RXQ127" s="5"/>
      <c r="RXR127" s="5"/>
      <c r="RXS127" s="5"/>
      <c r="RXT127" s="5"/>
      <c r="RXU127" s="5"/>
      <c r="RXV127" s="5"/>
      <c r="RXW127" s="5"/>
      <c r="RXX127" s="5"/>
      <c r="RXY127" s="5"/>
      <c r="RXZ127" s="5"/>
      <c r="RYA127" s="5"/>
      <c r="RYB127" s="5"/>
      <c r="RYC127" s="5"/>
      <c r="RYD127" s="5"/>
      <c r="RYE127" s="5"/>
      <c r="RYF127" s="5"/>
      <c r="RYG127" s="5"/>
      <c r="RYH127" s="5"/>
      <c r="RYI127" s="5"/>
      <c r="RYJ127" s="5"/>
      <c r="RYK127" s="5"/>
      <c r="RYL127" s="5"/>
      <c r="RYM127" s="5"/>
      <c r="RYN127" s="5"/>
      <c r="RYO127" s="5"/>
      <c r="RYP127" s="5"/>
      <c r="RYQ127" s="5"/>
      <c r="RYR127" s="5"/>
      <c r="RYS127" s="5"/>
      <c r="RYT127" s="5"/>
      <c r="RYU127" s="5"/>
      <c r="RYV127" s="5"/>
      <c r="RYW127" s="5"/>
      <c r="RYX127" s="5"/>
      <c r="RYY127" s="5"/>
      <c r="RYZ127" s="5"/>
      <c r="RZA127" s="5"/>
      <c r="RZB127" s="5"/>
      <c r="RZC127" s="5"/>
      <c r="RZD127" s="5"/>
      <c r="RZE127" s="5"/>
      <c r="RZF127" s="5"/>
      <c r="RZG127" s="5"/>
      <c r="RZH127" s="5"/>
      <c r="RZI127" s="5"/>
      <c r="RZJ127" s="5"/>
      <c r="RZK127" s="5"/>
      <c r="RZL127" s="5"/>
      <c r="RZM127" s="5"/>
      <c r="RZN127" s="5"/>
      <c r="RZO127" s="5"/>
      <c r="RZP127" s="5"/>
      <c r="RZQ127" s="5"/>
      <c r="RZR127" s="5"/>
      <c r="RZS127" s="5"/>
      <c r="RZT127" s="5"/>
      <c r="RZU127" s="5"/>
      <c r="RZV127" s="5"/>
      <c r="RZW127" s="5"/>
      <c r="RZX127" s="5"/>
      <c r="RZY127" s="5"/>
      <c r="RZZ127" s="5"/>
      <c r="SAA127" s="5"/>
      <c r="SAB127" s="5"/>
      <c r="SAC127" s="5"/>
      <c r="SAD127" s="5"/>
      <c r="SAE127" s="5"/>
      <c r="SAF127" s="5"/>
      <c r="SAG127" s="5"/>
      <c r="SAH127" s="5"/>
      <c r="SAI127" s="5"/>
      <c r="SAJ127" s="5"/>
      <c r="SAK127" s="5"/>
      <c r="SAL127" s="5"/>
      <c r="SAM127" s="5"/>
      <c r="SAN127" s="5"/>
      <c r="SAO127" s="5"/>
      <c r="SAP127" s="5"/>
      <c r="SAQ127" s="5"/>
      <c r="SAR127" s="5"/>
      <c r="SAS127" s="5"/>
      <c r="SAT127" s="5"/>
      <c r="SAU127" s="5"/>
      <c r="SAV127" s="5"/>
      <c r="SAW127" s="5"/>
      <c r="SAX127" s="5"/>
      <c r="SAY127" s="5"/>
      <c r="SAZ127" s="5"/>
      <c r="SBA127" s="5"/>
      <c r="SBB127" s="5"/>
      <c r="SBC127" s="5"/>
      <c r="SBD127" s="5"/>
      <c r="SBE127" s="5"/>
      <c r="SBF127" s="5"/>
      <c r="SBG127" s="5"/>
      <c r="SBH127" s="5"/>
      <c r="SBI127" s="5"/>
      <c r="SBJ127" s="5"/>
      <c r="SBK127" s="5"/>
      <c r="SBL127" s="5"/>
      <c r="SBM127" s="5"/>
      <c r="SBN127" s="5"/>
      <c r="SBO127" s="5"/>
      <c r="SBP127" s="5"/>
      <c r="SBQ127" s="5"/>
      <c r="SBR127" s="5"/>
      <c r="SBS127" s="5"/>
      <c r="SBT127" s="5"/>
      <c r="SBU127" s="5"/>
      <c r="SBV127" s="5"/>
      <c r="SBW127" s="5"/>
      <c r="SBX127" s="5"/>
      <c r="SBY127" s="5"/>
      <c r="SBZ127" s="5"/>
      <c r="SCA127" s="5"/>
      <c r="SCB127" s="5"/>
      <c r="SCC127" s="5"/>
      <c r="SCD127" s="5"/>
      <c r="SCE127" s="5"/>
      <c r="SCF127" s="5"/>
      <c r="SCG127" s="5"/>
      <c r="SCH127" s="5"/>
      <c r="SCI127" s="5"/>
      <c r="SCJ127" s="5"/>
      <c r="SCK127" s="5"/>
      <c r="SCL127" s="5"/>
      <c r="SCM127" s="5"/>
      <c r="SCN127" s="5"/>
      <c r="SCO127" s="5"/>
      <c r="SCP127" s="5"/>
      <c r="SCQ127" s="5"/>
      <c r="SCR127" s="5"/>
      <c r="SCS127" s="5"/>
      <c r="SCT127" s="5"/>
      <c r="SCU127" s="5"/>
      <c r="SCV127" s="5"/>
      <c r="SCW127" s="5"/>
      <c r="SCX127" s="5"/>
      <c r="SCY127" s="5"/>
      <c r="SCZ127" s="5"/>
      <c r="SDA127" s="5"/>
      <c r="SDB127" s="5"/>
      <c r="SDC127" s="5"/>
      <c r="SDD127" s="5"/>
      <c r="SDE127" s="5"/>
      <c r="SDF127" s="5"/>
      <c r="SDG127" s="5"/>
      <c r="SDH127" s="5"/>
      <c r="SDI127" s="5"/>
      <c r="SDJ127" s="5"/>
      <c r="SDK127" s="5"/>
      <c r="SDL127" s="5"/>
      <c r="SDM127" s="5"/>
      <c r="SDN127" s="5"/>
      <c r="SDO127" s="5"/>
      <c r="SDP127" s="5"/>
      <c r="SDQ127" s="5"/>
      <c r="SDR127" s="5"/>
      <c r="SDS127" s="5"/>
      <c r="SDT127" s="5"/>
      <c r="SDU127" s="5"/>
      <c r="SDV127" s="5"/>
      <c r="SDW127" s="5"/>
      <c r="SDX127" s="5"/>
      <c r="SDY127" s="5"/>
      <c r="SDZ127" s="5"/>
      <c r="SEA127" s="5"/>
      <c r="SEB127" s="5"/>
      <c r="SEC127" s="5"/>
      <c r="SED127" s="5"/>
      <c r="SEE127" s="5"/>
      <c r="SEF127" s="5"/>
      <c r="SEG127" s="5"/>
      <c r="SEH127" s="5"/>
      <c r="SEI127" s="5"/>
      <c r="SEJ127" s="5"/>
      <c r="SEK127" s="5"/>
      <c r="SEL127" s="5"/>
      <c r="SEM127" s="5"/>
      <c r="SEN127" s="5"/>
      <c r="SEO127" s="5"/>
      <c r="SEP127" s="5"/>
      <c r="SEQ127" s="5"/>
      <c r="SER127" s="5"/>
      <c r="SES127" s="5"/>
      <c r="SET127" s="5"/>
      <c r="SEU127" s="5"/>
      <c r="SEV127" s="5"/>
      <c r="SEW127" s="5"/>
      <c r="SEX127" s="5"/>
      <c r="SEY127" s="5"/>
      <c r="SEZ127" s="5"/>
      <c r="SFA127" s="5"/>
      <c r="SFB127" s="5"/>
      <c r="SFC127" s="5"/>
      <c r="SFD127" s="5"/>
      <c r="SFE127" s="5"/>
      <c r="SFF127" s="5"/>
      <c r="SFG127" s="5"/>
      <c r="SFH127" s="5"/>
      <c r="SFI127" s="5"/>
      <c r="SFJ127" s="5"/>
      <c r="SFK127" s="5"/>
      <c r="SFL127" s="5"/>
      <c r="SFM127" s="5"/>
      <c r="SFN127" s="5"/>
      <c r="SFO127" s="5"/>
      <c r="SFP127" s="5"/>
      <c r="SFQ127" s="5"/>
      <c r="SFR127" s="5"/>
      <c r="SFS127" s="5"/>
      <c r="SFT127" s="5"/>
      <c r="SFU127" s="5"/>
      <c r="SFV127" s="5"/>
      <c r="SFW127" s="5"/>
      <c r="SFX127" s="5"/>
      <c r="SFY127" s="5"/>
      <c r="SFZ127" s="5"/>
      <c r="SGA127" s="5"/>
      <c r="SGB127" s="5"/>
      <c r="SGC127" s="5"/>
      <c r="SGD127" s="5"/>
      <c r="SGE127" s="5"/>
      <c r="SGF127" s="5"/>
      <c r="SGG127" s="5"/>
      <c r="SGH127" s="5"/>
      <c r="SGI127" s="5"/>
      <c r="SGJ127" s="5"/>
      <c r="SGK127" s="5"/>
      <c r="SGL127" s="5"/>
      <c r="SGM127" s="5"/>
      <c r="SGN127" s="5"/>
      <c r="SGO127" s="5"/>
      <c r="SGP127" s="5"/>
      <c r="SGQ127" s="5"/>
      <c r="SGR127" s="5"/>
      <c r="SGS127" s="5"/>
      <c r="SGT127" s="5"/>
      <c r="SGU127" s="5"/>
      <c r="SGV127" s="5"/>
      <c r="SGW127" s="5"/>
      <c r="SGX127" s="5"/>
      <c r="SGY127" s="5"/>
      <c r="SGZ127" s="5"/>
      <c r="SHA127" s="5"/>
      <c r="SHB127" s="5"/>
      <c r="SHC127" s="5"/>
      <c r="SHD127" s="5"/>
      <c r="SHE127" s="5"/>
      <c r="SHF127" s="5"/>
      <c r="SHG127" s="5"/>
      <c r="SHH127" s="5"/>
      <c r="SHI127" s="5"/>
      <c r="SHJ127" s="5"/>
      <c r="SHK127" s="5"/>
      <c r="SHL127" s="5"/>
      <c r="SHM127" s="5"/>
      <c r="SHN127" s="5"/>
      <c r="SHO127" s="5"/>
      <c r="SHP127" s="5"/>
      <c r="SHQ127" s="5"/>
      <c r="SHR127" s="5"/>
      <c r="SHS127" s="5"/>
      <c r="SHT127" s="5"/>
      <c r="SHU127" s="5"/>
      <c r="SHV127" s="5"/>
      <c r="SHW127" s="5"/>
      <c r="SHX127" s="5"/>
      <c r="SHY127" s="5"/>
      <c r="SHZ127" s="5"/>
      <c r="SIA127" s="5"/>
      <c r="SIB127" s="5"/>
      <c r="SIC127" s="5"/>
      <c r="SID127" s="5"/>
      <c r="SIE127" s="5"/>
      <c r="SIF127" s="5"/>
      <c r="SIG127" s="5"/>
      <c r="SIH127" s="5"/>
      <c r="SII127" s="5"/>
      <c r="SIJ127" s="5"/>
      <c r="SIK127" s="5"/>
      <c r="SIL127" s="5"/>
      <c r="SIM127" s="5"/>
      <c r="SIN127" s="5"/>
      <c r="SIO127" s="5"/>
      <c r="SIP127" s="5"/>
      <c r="SIQ127" s="5"/>
      <c r="SIR127" s="5"/>
      <c r="SIS127" s="5"/>
      <c r="SIT127" s="5"/>
      <c r="SIU127" s="5"/>
      <c r="SIV127" s="5"/>
      <c r="SIW127" s="5"/>
      <c r="SIX127" s="5"/>
      <c r="SIY127" s="5"/>
      <c r="SIZ127" s="5"/>
      <c r="SJA127" s="5"/>
      <c r="SJB127" s="5"/>
      <c r="SJC127" s="5"/>
      <c r="SJD127" s="5"/>
      <c r="SJE127" s="5"/>
      <c r="SJF127" s="5"/>
      <c r="SJG127" s="5"/>
      <c r="SJH127" s="5"/>
      <c r="SJI127" s="5"/>
      <c r="SJJ127" s="5"/>
      <c r="SJK127" s="5"/>
      <c r="SJL127" s="5"/>
      <c r="SJM127" s="5"/>
      <c r="SJN127" s="5"/>
      <c r="SJO127" s="5"/>
      <c r="SJP127" s="5"/>
      <c r="SJQ127" s="5"/>
      <c r="SJR127" s="5"/>
      <c r="SJS127" s="5"/>
      <c r="SJT127" s="5"/>
      <c r="SJU127" s="5"/>
      <c r="SJV127" s="5"/>
      <c r="SJW127" s="5"/>
      <c r="SJX127" s="5"/>
      <c r="SJY127" s="5"/>
      <c r="SJZ127" s="5"/>
      <c r="SKA127" s="5"/>
      <c r="SKB127" s="5"/>
      <c r="SKC127" s="5"/>
      <c r="SKD127" s="5"/>
      <c r="SKE127" s="5"/>
      <c r="SKF127" s="5"/>
      <c r="SKG127" s="5"/>
      <c r="SKH127" s="5"/>
      <c r="SKI127" s="5"/>
      <c r="SKJ127" s="5"/>
      <c r="SKK127" s="5"/>
      <c r="SKL127" s="5"/>
      <c r="SKM127" s="5"/>
      <c r="SKN127" s="5"/>
      <c r="SKO127" s="5"/>
      <c r="SKP127" s="5"/>
      <c r="SKQ127" s="5"/>
      <c r="SKR127" s="5"/>
      <c r="SKS127" s="5"/>
      <c r="SKT127" s="5"/>
      <c r="SKU127" s="5"/>
      <c r="SKV127" s="5"/>
      <c r="SKW127" s="5"/>
      <c r="SKX127" s="5"/>
      <c r="SKY127" s="5"/>
      <c r="SKZ127" s="5"/>
      <c r="SLA127" s="5"/>
      <c r="SLB127" s="5"/>
      <c r="SLC127" s="5"/>
      <c r="SLD127" s="5"/>
      <c r="SLE127" s="5"/>
      <c r="SLF127" s="5"/>
      <c r="SLG127" s="5"/>
      <c r="SLH127" s="5"/>
      <c r="SLI127" s="5"/>
      <c r="SLJ127" s="5"/>
      <c r="SLK127" s="5"/>
      <c r="SLL127" s="5"/>
      <c r="SLM127" s="5"/>
      <c r="SLN127" s="5"/>
      <c r="SLO127" s="5"/>
      <c r="SLP127" s="5"/>
      <c r="SLQ127" s="5"/>
      <c r="SLR127" s="5"/>
      <c r="SLS127" s="5"/>
      <c r="SLT127" s="5"/>
      <c r="SLU127" s="5"/>
      <c r="SLV127" s="5"/>
      <c r="SLW127" s="5"/>
      <c r="SLX127" s="5"/>
      <c r="SLY127" s="5"/>
      <c r="SLZ127" s="5"/>
      <c r="SMA127" s="5"/>
      <c r="SMB127" s="5"/>
      <c r="SMC127" s="5"/>
      <c r="SMD127" s="5"/>
      <c r="SME127" s="5"/>
      <c r="SMF127" s="5"/>
      <c r="SMG127" s="5"/>
      <c r="SMH127" s="5"/>
      <c r="SMI127" s="5"/>
      <c r="SMJ127" s="5"/>
      <c r="SMK127" s="5"/>
      <c r="SML127" s="5"/>
      <c r="SMM127" s="5"/>
      <c r="SMN127" s="5"/>
      <c r="SMO127" s="5"/>
      <c r="SMP127" s="5"/>
      <c r="SMQ127" s="5"/>
      <c r="SMR127" s="5"/>
      <c r="SMS127" s="5"/>
      <c r="SMT127" s="5"/>
      <c r="SMU127" s="5"/>
      <c r="SMV127" s="5"/>
      <c r="SMW127" s="5"/>
      <c r="SMX127" s="5"/>
      <c r="SMY127" s="5"/>
      <c r="SMZ127" s="5"/>
      <c r="SNA127" s="5"/>
      <c r="SNB127" s="5"/>
      <c r="SNC127" s="5"/>
      <c r="SND127" s="5"/>
      <c r="SNE127" s="5"/>
      <c r="SNF127" s="5"/>
      <c r="SNG127" s="5"/>
      <c r="SNH127" s="5"/>
      <c r="SNI127" s="5"/>
      <c r="SNJ127" s="5"/>
      <c r="SNK127" s="5"/>
      <c r="SNL127" s="5"/>
      <c r="SNM127" s="5"/>
      <c r="SNN127" s="5"/>
      <c r="SNO127" s="5"/>
      <c r="SNP127" s="5"/>
      <c r="SNQ127" s="5"/>
      <c r="SNR127" s="5"/>
      <c r="SNS127" s="5"/>
      <c r="SNT127" s="5"/>
      <c r="SNU127" s="5"/>
      <c r="SNV127" s="5"/>
      <c r="SNW127" s="5"/>
      <c r="SNX127" s="5"/>
      <c r="SNY127" s="5"/>
      <c r="SNZ127" s="5"/>
      <c r="SOA127" s="5"/>
      <c r="SOB127" s="5"/>
      <c r="SOC127" s="5"/>
      <c r="SOD127" s="5"/>
      <c r="SOE127" s="5"/>
      <c r="SOF127" s="5"/>
      <c r="SOG127" s="5"/>
      <c r="SOH127" s="5"/>
      <c r="SOI127" s="5"/>
      <c r="SOJ127" s="5"/>
      <c r="SOK127" s="5"/>
      <c r="SOL127" s="5"/>
      <c r="SOM127" s="5"/>
      <c r="SON127" s="5"/>
      <c r="SOO127" s="5"/>
      <c r="SOP127" s="5"/>
      <c r="SOQ127" s="5"/>
      <c r="SOR127" s="5"/>
      <c r="SOS127" s="5"/>
      <c r="SOT127" s="5"/>
      <c r="SOU127" s="5"/>
      <c r="SOV127" s="5"/>
      <c r="SOW127" s="5"/>
      <c r="SOX127" s="5"/>
      <c r="SOY127" s="5"/>
      <c r="SOZ127" s="5"/>
      <c r="SPA127" s="5"/>
      <c r="SPB127" s="5"/>
      <c r="SPC127" s="5"/>
      <c r="SPD127" s="5"/>
      <c r="SPE127" s="5"/>
      <c r="SPF127" s="5"/>
      <c r="SPG127" s="5"/>
      <c r="SPH127" s="5"/>
      <c r="SPI127" s="5"/>
      <c r="SPJ127" s="5"/>
      <c r="SPK127" s="5"/>
      <c r="SPL127" s="5"/>
      <c r="SPM127" s="5"/>
      <c r="SPN127" s="5"/>
      <c r="SPO127" s="5"/>
      <c r="SPP127" s="5"/>
      <c r="SPQ127" s="5"/>
      <c r="SPR127" s="5"/>
      <c r="SPS127" s="5"/>
      <c r="SPT127" s="5"/>
      <c r="SPU127" s="5"/>
      <c r="SPV127" s="5"/>
      <c r="SPW127" s="5"/>
      <c r="SPX127" s="5"/>
      <c r="SPY127" s="5"/>
      <c r="SPZ127" s="5"/>
      <c r="SQA127" s="5"/>
      <c r="SQB127" s="5"/>
      <c r="SQC127" s="5"/>
      <c r="SQD127" s="5"/>
      <c r="SQE127" s="5"/>
      <c r="SQF127" s="5"/>
      <c r="SQG127" s="5"/>
      <c r="SQH127" s="5"/>
      <c r="SQI127" s="5"/>
      <c r="SQJ127" s="5"/>
      <c r="SQK127" s="5"/>
      <c r="SQL127" s="5"/>
      <c r="SQM127" s="5"/>
      <c r="SQN127" s="5"/>
      <c r="SQO127" s="5"/>
      <c r="SQP127" s="5"/>
      <c r="SQQ127" s="5"/>
      <c r="SQR127" s="5"/>
      <c r="SQS127" s="5"/>
      <c r="SQT127" s="5"/>
      <c r="SQU127" s="5"/>
      <c r="SQV127" s="5"/>
      <c r="SQW127" s="5"/>
      <c r="SQX127" s="5"/>
      <c r="SQY127" s="5"/>
      <c r="SQZ127" s="5"/>
      <c r="SRA127" s="5"/>
      <c r="SRB127" s="5"/>
      <c r="SRC127" s="5"/>
      <c r="SRD127" s="5"/>
      <c r="SRE127" s="5"/>
      <c r="SRF127" s="5"/>
      <c r="SRG127" s="5"/>
      <c r="SRH127" s="5"/>
      <c r="SRI127" s="5"/>
      <c r="SRJ127" s="5"/>
      <c r="SRK127" s="5"/>
      <c r="SRL127" s="5"/>
      <c r="SRM127" s="5"/>
      <c r="SRN127" s="5"/>
      <c r="SRO127" s="5"/>
      <c r="SRP127" s="5"/>
      <c r="SRQ127" s="5"/>
      <c r="SRR127" s="5"/>
      <c r="SRS127" s="5"/>
      <c r="SRT127" s="5"/>
      <c r="SRU127" s="5"/>
      <c r="SRV127" s="5"/>
      <c r="SRW127" s="5"/>
      <c r="SRX127" s="5"/>
      <c r="SRY127" s="5"/>
      <c r="SRZ127" s="5"/>
      <c r="SSA127" s="5"/>
      <c r="SSB127" s="5"/>
      <c r="SSC127" s="5"/>
      <c r="SSD127" s="5"/>
      <c r="SSE127" s="5"/>
      <c r="SSF127" s="5"/>
      <c r="SSG127" s="5"/>
      <c r="SSH127" s="5"/>
      <c r="SSI127" s="5"/>
      <c r="SSJ127" s="5"/>
      <c r="SSK127" s="5"/>
      <c r="SSL127" s="5"/>
      <c r="SSM127" s="5"/>
      <c r="SSN127" s="5"/>
      <c r="SSO127" s="5"/>
      <c r="SSP127" s="5"/>
      <c r="SSQ127" s="5"/>
      <c r="SSR127" s="5"/>
      <c r="SSS127" s="5"/>
      <c r="SST127" s="5"/>
      <c r="SSU127" s="5"/>
      <c r="SSV127" s="5"/>
      <c r="SSW127" s="5"/>
      <c r="SSX127" s="5"/>
      <c r="SSY127" s="5"/>
      <c r="SSZ127" s="5"/>
      <c r="STA127" s="5"/>
      <c r="STB127" s="5"/>
      <c r="STC127" s="5"/>
      <c r="STD127" s="5"/>
      <c r="STE127" s="5"/>
      <c r="STF127" s="5"/>
      <c r="STG127" s="5"/>
      <c r="STH127" s="5"/>
      <c r="STI127" s="5"/>
      <c r="STJ127" s="5"/>
      <c r="STK127" s="5"/>
      <c r="STL127" s="5"/>
      <c r="STM127" s="5"/>
      <c r="STN127" s="5"/>
      <c r="STO127" s="5"/>
      <c r="STP127" s="5"/>
      <c r="STQ127" s="5"/>
      <c r="STR127" s="5"/>
      <c r="STS127" s="5"/>
      <c r="STT127" s="5"/>
      <c r="STU127" s="5"/>
      <c r="STV127" s="5"/>
      <c r="STW127" s="5"/>
      <c r="STX127" s="5"/>
      <c r="STY127" s="5"/>
      <c r="STZ127" s="5"/>
      <c r="SUA127" s="5"/>
      <c r="SUB127" s="5"/>
      <c r="SUC127" s="5"/>
      <c r="SUD127" s="5"/>
      <c r="SUE127" s="5"/>
      <c r="SUF127" s="5"/>
      <c r="SUG127" s="5"/>
      <c r="SUH127" s="5"/>
      <c r="SUI127" s="5"/>
      <c r="SUJ127" s="5"/>
      <c r="SUK127" s="5"/>
      <c r="SUL127" s="5"/>
      <c r="SUM127" s="5"/>
      <c r="SUN127" s="5"/>
      <c r="SUO127" s="5"/>
      <c r="SUP127" s="5"/>
      <c r="SUQ127" s="5"/>
      <c r="SUR127" s="5"/>
      <c r="SUS127" s="5"/>
      <c r="SUT127" s="5"/>
      <c r="SUU127" s="5"/>
      <c r="SUV127" s="5"/>
      <c r="SUW127" s="5"/>
      <c r="SUX127" s="5"/>
      <c r="SUY127" s="5"/>
      <c r="SUZ127" s="5"/>
      <c r="SVA127" s="5"/>
      <c r="SVB127" s="5"/>
      <c r="SVC127" s="5"/>
      <c r="SVD127" s="5"/>
      <c r="SVE127" s="5"/>
      <c r="SVF127" s="5"/>
      <c r="SVG127" s="5"/>
      <c r="SVH127" s="5"/>
      <c r="SVI127" s="5"/>
      <c r="SVJ127" s="5"/>
      <c r="SVK127" s="5"/>
      <c r="SVL127" s="5"/>
      <c r="SVM127" s="5"/>
      <c r="SVN127" s="5"/>
      <c r="SVO127" s="5"/>
      <c r="SVP127" s="5"/>
      <c r="SVQ127" s="5"/>
      <c r="SVR127" s="5"/>
      <c r="SVS127" s="5"/>
      <c r="SVT127" s="5"/>
      <c r="SVU127" s="5"/>
      <c r="SVV127" s="5"/>
      <c r="SVW127" s="5"/>
      <c r="SVX127" s="5"/>
      <c r="SVY127" s="5"/>
      <c r="SVZ127" s="5"/>
      <c r="SWA127" s="5"/>
      <c r="SWB127" s="5"/>
      <c r="SWC127" s="5"/>
      <c r="SWD127" s="5"/>
      <c r="SWE127" s="5"/>
      <c r="SWF127" s="5"/>
      <c r="SWG127" s="5"/>
      <c r="SWH127" s="5"/>
      <c r="SWI127" s="5"/>
      <c r="SWJ127" s="5"/>
      <c r="SWK127" s="5"/>
      <c r="SWL127" s="5"/>
      <c r="SWM127" s="5"/>
      <c r="SWN127" s="5"/>
      <c r="SWO127" s="5"/>
      <c r="SWP127" s="5"/>
      <c r="SWQ127" s="5"/>
      <c r="SWR127" s="5"/>
      <c r="SWS127" s="5"/>
      <c r="SWT127" s="5"/>
      <c r="SWU127" s="5"/>
      <c r="SWV127" s="5"/>
      <c r="SWW127" s="5"/>
      <c r="SWX127" s="5"/>
      <c r="SWY127" s="5"/>
      <c r="SWZ127" s="5"/>
      <c r="SXA127" s="5"/>
      <c r="SXB127" s="5"/>
      <c r="SXC127" s="5"/>
      <c r="SXD127" s="5"/>
      <c r="SXE127" s="5"/>
      <c r="SXF127" s="5"/>
      <c r="SXG127" s="5"/>
      <c r="SXH127" s="5"/>
      <c r="SXI127" s="5"/>
      <c r="SXJ127" s="5"/>
      <c r="SXK127" s="5"/>
      <c r="SXL127" s="5"/>
      <c r="SXM127" s="5"/>
      <c r="SXN127" s="5"/>
      <c r="SXO127" s="5"/>
      <c r="SXP127" s="5"/>
      <c r="SXQ127" s="5"/>
      <c r="SXR127" s="5"/>
      <c r="SXS127" s="5"/>
      <c r="SXT127" s="5"/>
      <c r="SXU127" s="5"/>
      <c r="SXV127" s="5"/>
      <c r="SXW127" s="5"/>
      <c r="SXX127" s="5"/>
      <c r="SXY127" s="5"/>
      <c r="SXZ127" s="5"/>
      <c r="SYA127" s="5"/>
      <c r="SYB127" s="5"/>
      <c r="SYC127" s="5"/>
      <c r="SYD127" s="5"/>
      <c r="SYE127" s="5"/>
      <c r="SYF127" s="5"/>
      <c r="SYG127" s="5"/>
      <c r="SYH127" s="5"/>
      <c r="SYI127" s="5"/>
      <c r="SYJ127" s="5"/>
      <c r="SYK127" s="5"/>
      <c r="SYL127" s="5"/>
      <c r="SYM127" s="5"/>
      <c r="SYN127" s="5"/>
      <c r="SYO127" s="5"/>
      <c r="SYP127" s="5"/>
      <c r="SYQ127" s="5"/>
      <c r="SYR127" s="5"/>
      <c r="SYS127" s="5"/>
      <c r="SYT127" s="5"/>
      <c r="SYU127" s="5"/>
      <c r="SYV127" s="5"/>
      <c r="SYW127" s="5"/>
      <c r="SYX127" s="5"/>
      <c r="SYY127" s="5"/>
      <c r="SYZ127" s="5"/>
      <c r="SZA127" s="5"/>
      <c r="SZB127" s="5"/>
      <c r="SZC127" s="5"/>
      <c r="SZD127" s="5"/>
      <c r="SZE127" s="5"/>
      <c r="SZF127" s="5"/>
      <c r="SZG127" s="5"/>
      <c r="SZH127" s="5"/>
      <c r="SZI127" s="5"/>
      <c r="SZJ127" s="5"/>
      <c r="SZK127" s="5"/>
      <c r="SZL127" s="5"/>
      <c r="SZM127" s="5"/>
      <c r="SZN127" s="5"/>
      <c r="SZO127" s="5"/>
      <c r="SZP127" s="5"/>
      <c r="SZQ127" s="5"/>
      <c r="SZR127" s="5"/>
      <c r="SZS127" s="5"/>
      <c r="SZT127" s="5"/>
      <c r="SZU127" s="5"/>
      <c r="SZV127" s="5"/>
      <c r="SZW127" s="5"/>
      <c r="SZX127" s="5"/>
      <c r="SZY127" s="5"/>
      <c r="SZZ127" s="5"/>
      <c r="TAA127" s="5"/>
      <c r="TAB127" s="5"/>
      <c r="TAC127" s="5"/>
      <c r="TAD127" s="5"/>
      <c r="TAE127" s="5"/>
      <c r="TAF127" s="5"/>
      <c r="TAG127" s="5"/>
      <c r="TAH127" s="5"/>
      <c r="TAI127" s="5"/>
      <c r="TAJ127" s="5"/>
      <c r="TAK127" s="5"/>
      <c r="TAL127" s="5"/>
      <c r="TAM127" s="5"/>
      <c r="TAN127" s="5"/>
      <c r="TAO127" s="5"/>
      <c r="TAP127" s="5"/>
      <c r="TAQ127" s="5"/>
      <c r="TAR127" s="5"/>
      <c r="TAS127" s="5"/>
      <c r="TAT127" s="5"/>
      <c r="TAU127" s="5"/>
      <c r="TAV127" s="5"/>
      <c r="TAW127" s="5"/>
      <c r="TAX127" s="5"/>
      <c r="TAY127" s="5"/>
      <c r="TAZ127" s="5"/>
      <c r="TBA127" s="5"/>
      <c r="TBB127" s="5"/>
      <c r="TBC127" s="5"/>
      <c r="TBD127" s="5"/>
      <c r="TBE127" s="5"/>
      <c r="TBF127" s="5"/>
      <c r="TBG127" s="5"/>
      <c r="TBH127" s="5"/>
      <c r="TBI127" s="5"/>
      <c r="TBJ127" s="5"/>
      <c r="TBK127" s="5"/>
      <c r="TBL127" s="5"/>
      <c r="TBM127" s="5"/>
      <c r="TBN127" s="5"/>
      <c r="TBO127" s="5"/>
      <c r="TBP127" s="5"/>
      <c r="TBQ127" s="5"/>
      <c r="TBR127" s="5"/>
      <c r="TBS127" s="5"/>
      <c r="TBT127" s="5"/>
      <c r="TBU127" s="5"/>
      <c r="TBV127" s="5"/>
      <c r="TBW127" s="5"/>
      <c r="TBX127" s="5"/>
      <c r="TBY127" s="5"/>
      <c r="TBZ127" s="5"/>
      <c r="TCA127" s="5"/>
      <c r="TCB127" s="5"/>
      <c r="TCC127" s="5"/>
      <c r="TCD127" s="5"/>
      <c r="TCE127" s="5"/>
      <c r="TCF127" s="5"/>
      <c r="TCG127" s="5"/>
      <c r="TCH127" s="5"/>
      <c r="TCI127" s="5"/>
      <c r="TCJ127" s="5"/>
      <c r="TCK127" s="5"/>
      <c r="TCL127" s="5"/>
      <c r="TCM127" s="5"/>
      <c r="TCN127" s="5"/>
      <c r="TCO127" s="5"/>
      <c r="TCP127" s="5"/>
      <c r="TCQ127" s="5"/>
      <c r="TCR127" s="5"/>
      <c r="TCS127" s="5"/>
      <c r="TCT127" s="5"/>
      <c r="TCU127" s="5"/>
      <c r="TCV127" s="5"/>
      <c r="TCW127" s="5"/>
      <c r="TCX127" s="5"/>
      <c r="TCY127" s="5"/>
      <c r="TCZ127" s="5"/>
      <c r="TDA127" s="5"/>
      <c r="TDB127" s="5"/>
      <c r="TDC127" s="5"/>
      <c r="TDD127" s="5"/>
      <c r="TDE127" s="5"/>
      <c r="TDF127" s="5"/>
      <c r="TDG127" s="5"/>
      <c r="TDH127" s="5"/>
      <c r="TDI127" s="5"/>
      <c r="TDJ127" s="5"/>
      <c r="TDK127" s="5"/>
      <c r="TDL127" s="5"/>
      <c r="TDM127" s="5"/>
      <c r="TDN127" s="5"/>
      <c r="TDO127" s="5"/>
      <c r="TDP127" s="5"/>
      <c r="TDQ127" s="5"/>
      <c r="TDR127" s="5"/>
      <c r="TDS127" s="5"/>
      <c r="TDT127" s="5"/>
      <c r="TDU127" s="5"/>
      <c r="TDV127" s="5"/>
      <c r="TDW127" s="5"/>
      <c r="TDX127" s="5"/>
      <c r="TDY127" s="5"/>
      <c r="TDZ127" s="5"/>
      <c r="TEA127" s="5"/>
      <c r="TEB127" s="5"/>
      <c r="TEC127" s="5"/>
      <c r="TED127" s="5"/>
      <c r="TEE127" s="5"/>
      <c r="TEF127" s="5"/>
      <c r="TEG127" s="5"/>
      <c r="TEH127" s="5"/>
      <c r="TEI127" s="5"/>
      <c r="TEJ127" s="5"/>
      <c r="TEK127" s="5"/>
      <c r="TEL127" s="5"/>
      <c r="TEM127" s="5"/>
      <c r="TEN127" s="5"/>
      <c r="TEO127" s="5"/>
      <c r="TEP127" s="5"/>
      <c r="TEQ127" s="5"/>
      <c r="TER127" s="5"/>
      <c r="TES127" s="5"/>
      <c r="TET127" s="5"/>
      <c r="TEU127" s="5"/>
      <c r="TEV127" s="5"/>
      <c r="TEW127" s="5"/>
      <c r="TEX127" s="5"/>
      <c r="TEY127" s="5"/>
      <c r="TEZ127" s="5"/>
      <c r="TFA127" s="5"/>
      <c r="TFB127" s="5"/>
      <c r="TFC127" s="5"/>
      <c r="TFD127" s="5"/>
      <c r="TFE127" s="5"/>
      <c r="TFF127" s="5"/>
      <c r="TFG127" s="5"/>
      <c r="TFH127" s="5"/>
      <c r="TFI127" s="5"/>
      <c r="TFJ127" s="5"/>
      <c r="TFK127" s="5"/>
      <c r="TFL127" s="5"/>
      <c r="TFM127" s="5"/>
      <c r="TFN127" s="5"/>
      <c r="TFO127" s="5"/>
      <c r="TFP127" s="5"/>
      <c r="TFQ127" s="5"/>
      <c r="TFR127" s="5"/>
      <c r="TFS127" s="5"/>
      <c r="TFT127" s="5"/>
      <c r="TFU127" s="5"/>
      <c r="TFV127" s="5"/>
      <c r="TFW127" s="5"/>
      <c r="TFX127" s="5"/>
      <c r="TFY127" s="5"/>
      <c r="TFZ127" s="5"/>
      <c r="TGA127" s="5"/>
      <c r="TGB127" s="5"/>
      <c r="TGC127" s="5"/>
      <c r="TGD127" s="5"/>
      <c r="TGE127" s="5"/>
      <c r="TGF127" s="5"/>
      <c r="TGG127" s="5"/>
      <c r="TGH127" s="5"/>
      <c r="TGI127" s="5"/>
      <c r="TGJ127" s="5"/>
      <c r="TGK127" s="5"/>
      <c r="TGL127" s="5"/>
      <c r="TGM127" s="5"/>
      <c r="TGN127" s="5"/>
      <c r="TGO127" s="5"/>
      <c r="TGP127" s="5"/>
      <c r="TGQ127" s="5"/>
      <c r="TGR127" s="5"/>
      <c r="TGS127" s="5"/>
      <c r="TGT127" s="5"/>
      <c r="TGU127" s="5"/>
      <c r="TGV127" s="5"/>
      <c r="TGW127" s="5"/>
      <c r="TGX127" s="5"/>
      <c r="TGY127" s="5"/>
      <c r="TGZ127" s="5"/>
      <c r="THA127" s="5"/>
      <c r="THB127" s="5"/>
      <c r="THC127" s="5"/>
      <c r="THD127" s="5"/>
      <c r="THE127" s="5"/>
      <c r="THF127" s="5"/>
      <c r="THG127" s="5"/>
      <c r="THH127" s="5"/>
      <c r="THI127" s="5"/>
      <c r="THJ127" s="5"/>
      <c r="THK127" s="5"/>
      <c r="THL127" s="5"/>
      <c r="THM127" s="5"/>
      <c r="THN127" s="5"/>
      <c r="THO127" s="5"/>
      <c r="THP127" s="5"/>
      <c r="THQ127" s="5"/>
      <c r="THR127" s="5"/>
      <c r="THS127" s="5"/>
      <c r="THT127" s="5"/>
      <c r="THU127" s="5"/>
      <c r="THV127" s="5"/>
      <c r="THW127" s="5"/>
      <c r="THX127" s="5"/>
      <c r="THY127" s="5"/>
      <c r="THZ127" s="5"/>
      <c r="TIA127" s="5"/>
      <c r="TIB127" s="5"/>
      <c r="TIC127" s="5"/>
      <c r="TID127" s="5"/>
      <c r="TIE127" s="5"/>
      <c r="TIF127" s="5"/>
      <c r="TIG127" s="5"/>
      <c r="TIH127" s="5"/>
      <c r="TII127" s="5"/>
      <c r="TIJ127" s="5"/>
      <c r="TIK127" s="5"/>
      <c r="TIL127" s="5"/>
      <c r="TIM127" s="5"/>
      <c r="TIN127" s="5"/>
      <c r="TIO127" s="5"/>
      <c r="TIP127" s="5"/>
      <c r="TIQ127" s="5"/>
      <c r="TIR127" s="5"/>
      <c r="TIS127" s="5"/>
      <c r="TIT127" s="5"/>
      <c r="TIU127" s="5"/>
      <c r="TIV127" s="5"/>
      <c r="TIW127" s="5"/>
      <c r="TIX127" s="5"/>
      <c r="TIY127" s="5"/>
      <c r="TIZ127" s="5"/>
      <c r="TJA127" s="5"/>
      <c r="TJB127" s="5"/>
      <c r="TJC127" s="5"/>
      <c r="TJD127" s="5"/>
      <c r="TJE127" s="5"/>
      <c r="TJF127" s="5"/>
      <c r="TJG127" s="5"/>
      <c r="TJH127" s="5"/>
      <c r="TJI127" s="5"/>
      <c r="TJJ127" s="5"/>
      <c r="TJK127" s="5"/>
      <c r="TJL127" s="5"/>
      <c r="TJM127" s="5"/>
      <c r="TJN127" s="5"/>
      <c r="TJO127" s="5"/>
      <c r="TJP127" s="5"/>
      <c r="TJQ127" s="5"/>
      <c r="TJR127" s="5"/>
      <c r="TJS127" s="5"/>
      <c r="TJT127" s="5"/>
      <c r="TJU127" s="5"/>
      <c r="TJV127" s="5"/>
      <c r="TJW127" s="5"/>
      <c r="TJX127" s="5"/>
      <c r="TJY127" s="5"/>
      <c r="TJZ127" s="5"/>
      <c r="TKA127" s="5"/>
      <c r="TKB127" s="5"/>
      <c r="TKC127" s="5"/>
      <c r="TKD127" s="5"/>
      <c r="TKE127" s="5"/>
      <c r="TKF127" s="5"/>
      <c r="TKG127" s="5"/>
      <c r="TKH127" s="5"/>
      <c r="TKI127" s="5"/>
      <c r="TKJ127" s="5"/>
      <c r="TKK127" s="5"/>
      <c r="TKL127" s="5"/>
      <c r="TKM127" s="5"/>
      <c r="TKN127" s="5"/>
      <c r="TKO127" s="5"/>
      <c r="TKP127" s="5"/>
      <c r="TKQ127" s="5"/>
      <c r="TKR127" s="5"/>
      <c r="TKS127" s="5"/>
      <c r="TKT127" s="5"/>
      <c r="TKU127" s="5"/>
      <c r="TKV127" s="5"/>
      <c r="TKW127" s="5"/>
      <c r="TKX127" s="5"/>
      <c r="TKY127" s="5"/>
      <c r="TKZ127" s="5"/>
      <c r="TLA127" s="5"/>
      <c r="TLB127" s="5"/>
      <c r="TLC127" s="5"/>
      <c r="TLD127" s="5"/>
      <c r="TLE127" s="5"/>
      <c r="TLF127" s="5"/>
      <c r="TLG127" s="5"/>
      <c r="TLH127" s="5"/>
      <c r="TLI127" s="5"/>
      <c r="TLJ127" s="5"/>
      <c r="TLK127" s="5"/>
      <c r="TLL127" s="5"/>
      <c r="TLM127" s="5"/>
      <c r="TLN127" s="5"/>
      <c r="TLO127" s="5"/>
      <c r="TLP127" s="5"/>
      <c r="TLQ127" s="5"/>
      <c r="TLR127" s="5"/>
      <c r="TLS127" s="5"/>
      <c r="TLT127" s="5"/>
      <c r="TLU127" s="5"/>
      <c r="TLV127" s="5"/>
      <c r="TLW127" s="5"/>
      <c r="TLX127" s="5"/>
      <c r="TLY127" s="5"/>
      <c r="TLZ127" s="5"/>
      <c r="TMA127" s="5"/>
      <c r="TMB127" s="5"/>
      <c r="TMC127" s="5"/>
      <c r="TMD127" s="5"/>
      <c r="TME127" s="5"/>
      <c r="TMF127" s="5"/>
      <c r="TMG127" s="5"/>
      <c r="TMH127" s="5"/>
      <c r="TMI127" s="5"/>
      <c r="TMJ127" s="5"/>
      <c r="TMK127" s="5"/>
      <c r="TML127" s="5"/>
      <c r="TMM127" s="5"/>
      <c r="TMN127" s="5"/>
      <c r="TMO127" s="5"/>
      <c r="TMP127" s="5"/>
      <c r="TMQ127" s="5"/>
      <c r="TMR127" s="5"/>
      <c r="TMS127" s="5"/>
      <c r="TMT127" s="5"/>
      <c r="TMU127" s="5"/>
      <c r="TMV127" s="5"/>
      <c r="TMW127" s="5"/>
      <c r="TMX127" s="5"/>
      <c r="TMY127" s="5"/>
      <c r="TMZ127" s="5"/>
      <c r="TNA127" s="5"/>
      <c r="TNB127" s="5"/>
      <c r="TNC127" s="5"/>
      <c r="TND127" s="5"/>
      <c r="TNE127" s="5"/>
      <c r="TNF127" s="5"/>
      <c r="TNG127" s="5"/>
      <c r="TNH127" s="5"/>
      <c r="TNI127" s="5"/>
      <c r="TNJ127" s="5"/>
      <c r="TNK127" s="5"/>
      <c r="TNL127" s="5"/>
      <c r="TNM127" s="5"/>
      <c r="TNN127" s="5"/>
      <c r="TNO127" s="5"/>
      <c r="TNP127" s="5"/>
      <c r="TNQ127" s="5"/>
      <c r="TNR127" s="5"/>
      <c r="TNS127" s="5"/>
      <c r="TNT127" s="5"/>
      <c r="TNU127" s="5"/>
      <c r="TNV127" s="5"/>
      <c r="TNW127" s="5"/>
      <c r="TNX127" s="5"/>
      <c r="TNY127" s="5"/>
      <c r="TNZ127" s="5"/>
      <c r="TOA127" s="5"/>
      <c r="TOB127" s="5"/>
      <c r="TOC127" s="5"/>
      <c r="TOD127" s="5"/>
      <c r="TOE127" s="5"/>
      <c r="TOF127" s="5"/>
      <c r="TOG127" s="5"/>
      <c r="TOH127" s="5"/>
      <c r="TOI127" s="5"/>
      <c r="TOJ127" s="5"/>
      <c r="TOK127" s="5"/>
      <c r="TOL127" s="5"/>
      <c r="TOM127" s="5"/>
      <c r="TON127" s="5"/>
      <c r="TOO127" s="5"/>
      <c r="TOP127" s="5"/>
      <c r="TOQ127" s="5"/>
      <c r="TOR127" s="5"/>
      <c r="TOS127" s="5"/>
      <c r="TOT127" s="5"/>
      <c r="TOU127" s="5"/>
      <c r="TOV127" s="5"/>
      <c r="TOW127" s="5"/>
      <c r="TOX127" s="5"/>
      <c r="TOY127" s="5"/>
      <c r="TOZ127" s="5"/>
      <c r="TPA127" s="5"/>
      <c r="TPB127" s="5"/>
      <c r="TPC127" s="5"/>
      <c r="TPD127" s="5"/>
      <c r="TPE127" s="5"/>
      <c r="TPF127" s="5"/>
      <c r="TPG127" s="5"/>
      <c r="TPH127" s="5"/>
      <c r="TPI127" s="5"/>
      <c r="TPJ127" s="5"/>
      <c r="TPK127" s="5"/>
      <c r="TPL127" s="5"/>
      <c r="TPM127" s="5"/>
      <c r="TPN127" s="5"/>
      <c r="TPO127" s="5"/>
      <c r="TPP127" s="5"/>
      <c r="TPQ127" s="5"/>
      <c r="TPR127" s="5"/>
      <c r="TPS127" s="5"/>
      <c r="TPT127" s="5"/>
      <c r="TPU127" s="5"/>
      <c r="TPV127" s="5"/>
      <c r="TPW127" s="5"/>
      <c r="TPX127" s="5"/>
      <c r="TPY127" s="5"/>
      <c r="TPZ127" s="5"/>
      <c r="TQA127" s="5"/>
      <c r="TQB127" s="5"/>
      <c r="TQC127" s="5"/>
      <c r="TQD127" s="5"/>
      <c r="TQE127" s="5"/>
      <c r="TQF127" s="5"/>
      <c r="TQG127" s="5"/>
      <c r="TQH127" s="5"/>
      <c r="TQI127" s="5"/>
      <c r="TQJ127" s="5"/>
      <c r="TQK127" s="5"/>
      <c r="TQL127" s="5"/>
      <c r="TQM127" s="5"/>
      <c r="TQN127" s="5"/>
      <c r="TQO127" s="5"/>
      <c r="TQP127" s="5"/>
      <c r="TQQ127" s="5"/>
      <c r="TQR127" s="5"/>
      <c r="TQS127" s="5"/>
      <c r="TQT127" s="5"/>
      <c r="TQU127" s="5"/>
      <c r="TQV127" s="5"/>
      <c r="TQW127" s="5"/>
      <c r="TQX127" s="5"/>
      <c r="TQY127" s="5"/>
      <c r="TQZ127" s="5"/>
      <c r="TRA127" s="5"/>
      <c r="TRB127" s="5"/>
      <c r="TRC127" s="5"/>
      <c r="TRD127" s="5"/>
      <c r="TRE127" s="5"/>
      <c r="TRF127" s="5"/>
      <c r="TRG127" s="5"/>
      <c r="TRH127" s="5"/>
      <c r="TRI127" s="5"/>
      <c r="TRJ127" s="5"/>
      <c r="TRK127" s="5"/>
      <c r="TRL127" s="5"/>
      <c r="TRM127" s="5"/>
      <c r="TRN127" s="5"/>
      <c r="TRO127" s="5"/>
      <c r="TRP127" s="5"/>
      <c r="TRQ127" s="5"/>
      <c r="TRR127" s="5"/>
      <c r="TRS127" s="5"/>
      <c r="TRT127" s="5"/>
      <c r="TRU127" s="5"/>
      <c r="TRV127" s="5"/>
      <c r="TRW127" s="5"/>
      <c r="TRX127" s="5"/>
      <c r="TRY127" s="5"/>
      <c r="TRZ127" s="5"/>
      <c r="TSA127" s="5"/>
      <c r="TSB127" s="5"/>
      <c r="TSC127" s="5"/>
      <c r="TSD127" s="5"/>
      <c r="TSE127" s="5"/>
      <c r="TSF127" s="5"/>
      <c r="TSG127" s="5"/>
      <c r="TSH127" s="5"/>
      <c r="TSI127" s="5"/>
      <c r="TSJ127" s="5"/>
      <c r="TSK127" s="5"/>
      <c r="TSL127" s="5"/>
      <c r="TSM127" s="5"/>
      <c r="TSN127" s="5"/>
      <c r="TSO127" s="5"/>
      <c r="TSP127" s="5"/>
      <c r="TSQ127" s="5"/>
      <c r="TSR127" s="5"/>
      <c r="TSS127" s="5"/>
      <c r="TST127" s="5"/>
      <c r="TSU127" s="5"/>
      <c r="TSV127" s="5"/>
      <c r="TSW127" s="5"/>
      <c r="TSX127" s="5"/>
      <c r="TSY127" s="5"/>
      <c r="TSZ127" s="5"/>
      <c r="TTA127" s="5"/>
      <c r="TTB127" s="5"/>
      <c r="TTC127" s="5"/>
      <c r="TTD127" s="5"/>
      <c r="TTE127" s="5"/>
      <c r="TTF127" s="5"/>
      <c r="TTG127" s="5"/>
      <c r="TTH127" s="5"/>
      <c r="TTI127" s="5"/>
      <c r="TTJ127" s="5"/>
      <c r="TTK127" s="5"/>
      <c r="TTL127" s="5"/>
      <c r="TTM127" s="5"/>
      <c r="TTN127" s="5"/>
      <c r="TTO127" s="5"/>
      <c r="TTP127" s="5"/>
      <c r="TTQ127" s="5"/>
      <c r="TTR127" s="5"/>
      <c r="TTS127" s="5"/>
      <c r="TTT127" s="5"/>
      <c r="TTU127" s="5"/>
      <c r="TTV127" s="5"/>
      <c r="TTW127" s="5"/>
      <c r="TTX127" s="5"/>
      <c r="TTY127" s="5"/>
      <c r="TTZ127" s="5"/>
      <c r="TUA127" s="5"/>
      <c r="TUB127" s="5"/>
      <c r="TUC127" s="5"/>
      <c r="TUD127" s="5"/>
      <c r="TUE127" s="5"/>
      <c r="TUF127" s="5"/>
      <c r="TUG127" s="5"/>
      <c r="TUH127" s="5"/>
      <c r="TUI127" s="5"/>
      <c r="TUJ127" s="5"/>
      <c r="TUK127" s="5"/>
      <c r="TUL127" s="5"/>
      <c r="TUM127" s="5"/>
      <c r="TUN127" s="5"/>
      <c r="TUO127" s="5"/>
      <c r="TUP127" s="5"/>
      <c r="TUQ127" s="5"/>
      <c r="TUR127" s="5"/>
      <c r="TUS127" s="5"/>
      <c r="TUT127" s="5"/>
      <c r="TUU127" s="5"/>
      <c r="TUV127" s="5"/>
      <c r="TUW127" s="5"/>
      <c r="TUX127" s="5"/>
      <c r="TUY127" s="5"/>
      <c r="TUZ127" s="5"/>
      <c r="TVA127" s="5"/>
      <c r="TVB127" s="5"/>
      <c r="TVC127" s="5"/>
      <c r="TVD127" s="5"/>
      <c r="TVE127" s="5"/>
      <c r="TVF127" s="5"/>
      <c r="TVG127" s="5"/>
      <c r="TVH127" s="5"/>
      <c r="TVI127" s="5"/>
      <c r="TVJ127" s="5"/>
      <c r="TVK127" s="5"/>
      <c r="TVL127" s="5"/>
      <c r="TVM127" s="5"/>
      <c r="TVN127" s="5"/>
      <c r="TVO127" s="5"/>
      <c r="TVP127" s="5"/>
      <c r="TVQ127" s="5"/>
      <c r="TVR127" s="5"/>
      <c r="TVS127" s="5"/>
      <c r="TVT127" s="5"/>
      <c r="TVU127" s="5"/>
      <c r="TVV127" s="5"/>
      <c r="TVW127" s="5"/>
      <c r="TVX127" s="5"/>
      <c r="TVY127" s="5"/>
      <c r="TVZ127" s="5"/>
      <c r="TWA127" s="5"/>
      <c r="TWB127" s="5"/>
      <c r="TWC127" s="5"/>
      <c r="TWD127" s="5"/>
      <c r="TWE127" s="5"/>
      <c r="TWF127" s="5"/>
      <c r="TWG127" s="5"/>
      <c r="TWH127" s="5"/>
      <c r="TWI127" s="5"/>
      <c r="TWJ127" s="5"/>
      <c r="TWK127" s="5"/>
      <c r="TWL127" s="5"/>
      <c r="TWM127" s="5"/>
      <c r="TWN127" s="5"/>
      <c r="TWO127" s="5"/>
      <c r="TWP127" s="5"/>
      <c r="TWQ127" s="5"/>
      <c r="TWR127" s="5"/>
      <c r="TWS127" s="5"/>
      <c r="TWT127" s="5"/>
      <c r="TWU127" s="5"/>
      <c r="TWV127" s="5"/>
      <c r="TWW127" s="5"/>
      <c r="TWX127" s="5"/>
      <c r="TWY127" s="5"/>
      <c r="TWZ127" s="5"/>
      <c r="TXA127" s="5"/>
      <c r="TXB127" s="5"/>
      <c r="TXC127" s="5"/>
      <c r="TXD127" s="5"/>
      <c r="TXE127" s="5"/>
      <c r="TXF127" s="5"/>
      <c r="TXG127" s="5"/>
      <c r="TXH127" s="5"/>
      <c r="TXI127" s="5"/>
      <c r="TXJ127" s="5"/>
      <c r="TXK127" s="5"/>
      <c r="TXL127" s="5"/>
      <c r="TXM127" s="5"/>
      <c r="TXN127" s="5"/>
      <c r="TXO127" s="5"/>
      <c r="TXP127" s="5"/>
      <c r="TXQ127" s="5"/>
      <c r="TXR127" s="5"/>
      <c r="TXS127" s="5"/>
      <c r="TXT127" s="5"/>
      <c r="TXU127" s="5"/>
      <c r="TXV127" s="5"/>
      <c r="TXW127" s="5"/>
      <c r="TXX127" s="5"/>
      <c r="TXY127" s="5"/>
      <c r="TXZ127" s="5"/>
      <c r="TYA127" s="5"/>
      <c r="TYB127" s="5"/>
      <c r="TYC127" s="5"/>
      <c r="TYD127" s="5"/>
      <c r="TYE127" s="5"/>
      <c r="TYF127" s="5"/>
      <c r="TYG127" s="5"/>
      <c r="TYH127" s="5"/>
      <c r="TYI127" s="5"/>
      <c r="TYJ127" s="5"/>
      <c r="TYK127" s="5"/>
      <c r="TYL127" s="5"/>
      <c r="TYM127" s="5"/>
      <c r="TYN127" s="5"/>
      <c r="TYO127" s="5"/>
      <c r="TYP127" s="5"/>
      <c r="TYQ127" s="5"/>
      <c r="TYR127" s="5"/>
      <c r="TYS127" s="5"/>
      <c r="TYT127" s="5"/>
      <c r="TYU127" s="5"/>
      <c r="TYV127" s="5"/>
      <c r="TYW127" s="5"/>
      <c r="TYX127" s="5"/>
      <c r="TYY127" s="5"/>
      <c r="TYZ127" s="5"/>
      <c r="TZA127" s="5"/>
      <c r="TZB127" s="5"/>
      <c r="TZC127" s="5"/>
      <c r="TZD127" s="5"/>
      <c r="TZE127" s="5"/>
      <c r="TZF127" s="5"/>
      <c r="TZG127" s="5"/>
      <c r="TZH127" s="5"/>
      <c r="TZI127" s="5"/>
      <c r="TZJ127" s="5"/>
      <c r="TZK127" s="5"/>
      <c r="TZL127" s="5"/>
      <c r="TZM127" s="5"/>
      <c r="TZN127" s="5"/>
      <c r="TZO127" s="5"/>
      <c r="TZP127" s="5"/>
      <c r="TZQ127" s="5"/>
      <c r="TZR127" s="5"/>
      <c r="TZS127" s="5"/>
      <c r="TZT127" s="5"/>
      <c r="TZU127" s="5"/>
      <c r="TZV127" s="5"/>
      <c r="TZW127" s="5"/>
      <c r="TZX127" s="5"/>
      <c r="TZY127" s="5"/>
      <c r="TZZ127" s="5"/>
      <c r="UAA127" s="5"/>
      <c r="UAB127" s="5"/>
      <c r="UAC127" s="5"/>
      <c r="UAD127" s="5"/>
      <c r="UAE127" s="5"/>
      <c r="UAF127" s="5"/>
      <c r="UAG127" s="5"/>
      <c r="UAH127" s="5"/>
      <c r="UAI127" s="5"/>
      <c r="UAJ127" s="5"/>
      <c r="UAK127" s="5"/>
      <c r="UAL127" s="5"/>
      <c r="UAM127" s="5"/>
      <c r="UAN127" s="5"/>
      <c r="UAO127" s="5"/>
      <c r="UAP127" s="5"/>
      <c r="UAQ127" s="5"/>
      <c r="UAR127" s="5"/>
      <c r="UAS127" s="5"/>
      <c r="UAT127" s="5"/>
      <c r="UAU127" s="5"/>
      <c r="UAV127" s="5"/>
      <c r="UAW127" s="5"/>
      <c r="UAX127" s="5"/>
      <c r="UAY127" s="5"/>
      <c r="UAZ127" s="5"/>
      <c r="UBA127" s="5"/>
      <c r="UBB127" s="5"/>
      <c r="UBC127" s="5"/>
      <c r="UBD127" s="5"/>
      <c r="UBE127" s="5"/>
      <c r="UBF127" s="5"/>
      <c r="UBG127" s="5"/>
      <c r="UBH127" s="5"/>
      <c r="UBI127" s="5"/>
      <c r="UBJ127" s="5"/>
      <c r="UBK127" s="5"/>
      <c r="UBL127" s="5"/>
      <c r="UBM127" s="5"/>
      <c r="UBN127" s="5"/>
      <c r="UBO127" s="5"/>
      <c r="UBP127" s="5"/>
      <c r="UBQ127" s="5"/>
      <c r="UBR127" s="5"/>
      <c r="UBS127" s="5"/>
      <c r="UBT127" s="5"/>
      <c r="UBU127" s="5"/>
      <c r="UBV127" s="5"/>
      <c r="UBW127" s="5"/>
      <c r="UBX127" s="5"/>
      <c r="UBY127" s="5"/>
      <c r="UBZ127" s="5"/>
      <c r="UCA127" s="5"/>
      <c r="UCB127" s="5"/>
      <c r="UCC127" s="5"/>
      <c r="UCD127" s="5"/>
      <c r="UCE127" s="5"/>
      <c r="UCF127" s="5"/>
      <c r="UCG127" s="5"/>
      <c r="UCH127" s="5"/>
      <c r="UCI127" s="5"/>
      <c r="UCJ127" s="5"/>
      <c r="UCK127" s="5"/>
      <c r="UCL127" s="5"/>
      <c r="UCM127" s="5"/>
      <c r="UCN127" s="5"/>
      <c r="UCO127" s="5"/>
      <c r="UCP127" s="5"/>
      <c r="UCQ127" s="5"/>
      <c r="UCR127" s="5"/>
      <c r="UCS127" s="5"/>
      <c r="UCT127" s="5"/>
      <c r="UCU127" s="5"/>
      <c r="UCV127" s="5"/>
      <c r="UCW127" s="5"/>
      <c r="UCX127" s="5"/>
      <c r="UCY127" s="5"/>
      <c r="UCZ127" s="5"/>
      <c r="UDA127" s="5"/>
      <c r="UDB127" s="5"/>
      <c r="UDC127" s="5"/>
      <c r="UDD127" s="5"/>
      <c r="UDE127" s="5"/>
      <c r="UDF127" s="5"/>
      <c r="UDG127" s="5"/>
      <c r="UDH127" s="5"/>
      <c r="UDI127" s="5"/>
      <c r="UDJ127" s="5"/>
      <c r="UDK127" s="5"/>
      <c r="UDL127" s="5"/>
      <c r="UDM127" s="5"/>
      <c r="UDN127" s="5"/>
      <c r="UDO127" s="5"/>
      <c r="UDP127" s="5"/>
      <c r="UDQ127" s="5"/>
      <c r="UDR127" s="5"/>
      <c r="UDS127" s="5"/>
      <c r="UDT127" s="5"/>
      <c r="UDU127" s="5"/>
      <c r="UDV127" s="5"/>
      <c r="UDW127" s="5"/>
      <c r="UDX127" s="5"/>
      <c r="UDY127" s="5"/>
      <c r="UDZ127" s="5"/>
      <c r="UEA127" s="5"/>
      <c r="UEB127" s="5"/>
      <c r="UEC127" s="5"/>
      <c r="UED127" s="5"/>
      <c r="UEE127" s="5"/>
      <c r="UEF127" s="5"/>
      <c r="UEG127" s="5"/>
      <c r="UEH127" s="5"/>
      <c r="UEI127" s="5"/>
      <c r="UEJ127" s="5"/>
      <c r="UEK127" s="5"/>
      <c r="UEL127" s="5"/>
      <c r="UEM127" s="5"/>
      <c r="UEN127" s="5"/>
      <c r="UEO127" s="5"/>
      <c r="UEP127" s="5"/>
      <c r="UEQ127" s="5"/>
      <c r="UER127" s="5"/>
      <c r="UES127" s="5"/>
      <c r="UET127" s="5"/>
      <c r="UEU127" s="5"/>
      <c r="UEV127" s="5"/>
      <c r="UEW127" s="5"/>
      <c r="UEX127" s="5"/>
      <c r="UEY127" s="5"/>
      <c r="UEZ127" s="5"/>
      <c r="UFA127" s="5"/>
      <c r="UFB127" s="5"/>
      <c r="UFC127" s="5"/>
      <c r="UFD127" s="5"/>
      <c r="UFE127" s="5"/>
      <c r="UFF127" s="5"/>
      <c r="UFG127" s="5"/>
      <c r="UFH127" s="5"/>
      <c r="UFI127" s="5"/>
      <c r="UFJ127" s="5"/>
      <c r="UFK127" s="5"/>
      <c r="UFL127" s="5"/>
      <c r="UFM127" s="5"/>
      <c r="UFN127" s="5"/>
      <c r="UFO127" s="5"/>
      <c r="UFP127" s="5"/>
      <c r="UFQ127" s="5"/>
      <c r="UFR127" s="5"/>
      <c r="UFS127" s="5"/>
      <c r="UFT127" s="5"/>
      <c r="UFU127" s="5"/>
      <c r="UFV127" s="5"/>
      <c r="UFW127" s="5"/>
      <c r="UFX127" s="5"/>
      <c r="UFY127" s="5"/>
      <c r="UFZ127" s="5"/>
      <c r="UGA127" s="5"/>
      <c r="UGB127" s="5"/>
      <c r="UGC127" s="5"/>
      <c r="UGD127" s="5"/>
      <c r="UGE127" s="5"/>
      <c r="UGF127" s="5"/>
      <c r="UGG127" s="5"/>
      <c r="UGH127" s="5"/>
      <c r="UGI127" s="5"/>
      <c r="UGJ127" s="5"/>
      <c r="UGK127" s="5"/>
      <c r="UGL127" s="5"/>
      <c r="UGM127" s="5"/>
      <c r="UGN127" s="5"/>
      <c r="UGO127" s="5"/>
      <c r="UGP127" s="5"/>
      <c r="UGQ127" s="5"/>
      <c r="UGR127" s="5"/>
      <c r="UGS127" s="5"/>
      <c r="UGT127" s="5"/>
      <c r="UGU127" s="5"/>
      <c r="UGV127" s="5"/>
      <c r="UGW127" s="5"/>
      <c r="UGX127" s="5"/>
      <c r="UGY127" s="5"/>
      <c r="UGZ127" s="5"/>
      <c r="UHA127" s="5"/>
      <c r="UHB127" s="5"/>
      <c r="UHC127" s="5"/>
      <c r="UHD127" s="5"/>
      <c r="UHE127" s="5"/>
      <c r="UHF127" s="5"/>
      <c r="UHG127" s="5"/>
      <c r="UHH127" s="5"/>
      <c r="UHI127" s="5"/>
      <c r="UHJ127" s="5"/>
      <c r="UHK127" s="5"/>
      <c r="UHL127" s="5"/>
      <c r="UHM127" s="5"/>
      <c r="UHN127" s="5"/>
      <c r="UHO127" s="5"/>
      <c r="UHP127" s="5"/>
      <c r="UHQ127" s="5"/>
      <c r="UHR127" s="5"/>
      <c r="UHS127" s="5"/>
      <c r="UHT127" s="5"/>
      <c r="UHU127" s="5"/>
      <c r="UHV127" s="5"/>
      <c r="UHW127" s="5"/>
      <c r="UHX127" s="5"/>
      <c r="UHY127" s="5"/>
      <c r="UHZ127" s="5"/>
      <c r="UIA127" s="5"/>
      <c r="UIB127" s="5"/>
      <c r="UIC127" s="5"/>
      <c r="UID127" s="5"/>
      <c r="UIE127" s="5"/>
      <c r="UIF127" s="5"/>
      <c r="UIG127" s="5"/>
      <c r="UIH127" s="5"/>
      <c r="UII127" s="5"/>
      <c r="UIJ127" s="5"/>
      <c r="UIK127" s="5"/>
      <c r="UIL127" s="5"/>
      <c r="UIM127" s="5"/>
      <c r="UIN127" s="5"/>
      <c r="UIO127" s="5"/>
      <c r="UIP127" s="5"/>
      <c r="UIQ127" s="5"/>
      <c r="UIR127" s="5"/>
      <c r="UIS127" s="5"/>
      <c r="UIT127" s="5"/>
      <c r="UIU127" s="5"/>
      <c r="UIV127" s="5"/>
      <c r="UIW127" s="5"/>
      <c r="UIX127" s="5"/>
      <c r="UIY127" s="5"/>
      <c r="UIZ127" s="5"/>
      <c r="UJA127" s="5"/>
      <c r="UJB127" s="5"/>
      <c r="UJC127" s="5"/>
      <c r="UJD127" s="5"/>
      <c r="UJE127" s="5"/>
      <c r="UJF127" s="5"/>
      <c r="UJG127" s="5"/>
      <c r="UJH127" s="5"/>
      <c r="UJI127" s="5"/>
      <c r="UJJ127" s="5"/>
      <c r="UJK127" s="5"/>
      <c r="UJL127" s="5"/>
      <c r="UJM127" s="5"/>
      <c r="UJN127" s="5"/>
      <c r="UJO127" s="5"/>
      <c r="UJP127" s="5"/>
      <c r="UJQ127" s="5"/>
      <c r="UJR127" s="5"/>
      <c r="UJS127" s="5"/>
      <c r="UJT127" s="5"/>
      <c r="UJU127" s="5"/>
      <c r="UJV127" s="5"/>
      <c r="UJW127" s="5"/>
      <c r="UJX127" s="5"/>
      <c r="UJY127" s="5"/>
      <c r="UJZ127" s="5"/>
      <c r="UKA127" s="5"/>
      <c r="UKB127" s="5"/>
      <c r="UKC127" s="5"/>
      <c r="UKD127" s="5"/>
      <c r="UKE127" s="5"/>
      <c r="UKF127" s="5"/>
      <c r="UKG127" s="5"/>
      <c r="UKH127" s="5"/>
      <c r="UKI127" s="5"/>
      <c r="UKJ127" s="5"/>
      <c r="UKK127" s="5"/>
      <c r="UKL127" s="5"/>
      <c r="UKM127" s="5"/>
      <c r="UKN127" s="5"/>
      <c r="UKO127" s="5"/>
      <c r="UKP127" s="5"/>
      <c r="UKQ127" s="5"/>
      <c r="UKR127" s="5"/>
      <c r="UKS127" s="5"/>
      <c r="UKT127" s="5"/>
      <c r="UKU127" s="5"/>
      <c r="UKV127" s="5"/>
      <c r="UKW127" s="5"/>
      <c r="UKX127" s="5"/>
      <c r="UKY127" s="5"/>
      <c r="UKZ127" s="5"/>
      <c r="ULA127" s="5"/>
      <c r="ULB127" s="5"/>
      <c r="ULC127" s="5"/>
      <c r="ULD127" s="5"/>
      <c r="ULE127" s="5"/>
      <c r="ULF127" s="5"/>
      <c r="ULG127" s="5"/>
      <c r="ULH127" s="5"/>
      <c r="ULI127" s="5"/>
      <c r="ULJ127" s="5"/>
      <c r="ULK127" s="5"/>
      <c r="ULL127" s="5"/>
      <c r="ULM127" s="5"/>
      <c r="ULN127" s="5"/>
      <c r="ULO127" s="5"/>
      <c r="ULP127" s="5"/>
      <c r="ULQ127" s="5"/>
      <c r="ULR127" s="5"/>
      <c r="ULS127" s="5"/>
      <c r="ULT127" s="5"/>
      <c r="ULU127" s="5"/>
      <c r="ULV127" s="5"/>
      <c r="ULW127" s="5"/>
      <c r="ULX127" s="5"/>
      <c r="ULY127" s="5"/>
      <c r="ULZ127" s="5"/>
      <c r="UMA127" s="5"/>
      <c r="UMB127" s="5"/>
      <c r="UMC127" s="5"/>
      <c r="UMD127" s="5"/>
      <c r="UME127" s="5"/>
      <c r="UMF127" s="5"/>
      <c r="UMG127" s="5"/>
      <c r="UMH127" s="5"/>
      <c r="UMI127" s="5"/>
      <c r="UMJ127" s="5"/>
      <c r="UMK127" s="5"/>
      <c r="UML127" s="5"/>
      <c r="UMM127" s="5"/>
      <c r="UMN127" s="5"/>
      <c r="UMO127" s="5"/>
      <c r="UMP127" s="5"/>
      <c r="UMQ127" s="5"/>
      <c r="UMR127" s="5"/>
      <c r="UMS127" s="5"/>
      <c r="UMT127" s="5"/>
      <c r="UMU127" s="5"/>
      <c r="UMV127" s="5"/>
      <c r="UMW127" s="5"/>
      <c r="UMX127" s="5"/>
      <c r="UMY127" s="5"/>
      <c r="UMZ127" s="5"/>
      <c r="UNA127" s="5"/>
      <c r="UNB127" s="5"/>
      <c r="UNC127" s="5"/>
      <c r="UND127" s="5"/>
      <c r="UNE127" s="5"/>
      <c r="UNF127" s="5"/>
      <c r="UNG127" s="5"/>
      <c r="UNH127" s="5"/>
      <c r="UNI127" s="5"/>
      <c r="UNJ127" s="5"/>
      <c r="UNK127" s="5"/>
      <c r="UNL127" s="5"/>
      <c r="UNM127" s="5"/>
      <c r="UNN127" s="5"/>
      <c r="UNO127" s="5"/>
      <c r="UNP127" s="5"/>
      <c r="UNQ127" s="5"/>
      <c r="UNR127" s="5"/>
      <c r="UNS127" s="5"/>
      <c r="UNT127" s="5"/>
      <c r="UNU127" s="5"/>
      <c r="UNV127" s="5"/>
      <c r="UNW127" s="5"/>
      <c r="UNX127" s="5"/>
      <c r="UNY127" s="5"/>
      <c r="UNZ127" s="5"/>
      <c r="UOA127" s="5"/>
      <c r="UOB127" s="5"/>
      <c r="UOC127" s="5"/>
      <c r="UOD127" s="5"/>
      <c r="UOE127" s="5"/>
      <c r="UOF127" s="5"/>
      <c r="UOG127" s="5"/>
      <c r="UOH127" s="5"/>
      <c r="UOI127" s="5"/>
      <c r="UOJ127" s="5"/>
      <c r="UOK127" s="5"/>
      <c r="UOL127" s="5"/>
      <c r="UOM127" s="5"/>
      <c r="UON127" s="5"/>
      <c r="UOO127" s="5"/>
      <c r="UOP127" s="5"/>
      <c r="UOQ127" s="5"/>
      <c r="UOR127" s="5"/>
      <c r="UOS127" s="5"/>
      <c r="UOT127" s="5"/>
      <c r="UOU127" s="5"/>
      <c r="UOV127" s="5"/>
      <c r="UOW127" s="5"/>
      <c r="UOX127" s="5"/>
      <c r="UOY127" s="5"/>
      <c r="UOZ127" s="5"/>
      <c r="UPA127" s="5"/>
      <c r="UPB127" s="5"/>
      <c r="UPC127" s="5"/>
      <c r="UPD127" s="5"/>
      <c r="UPE127" s="5"/>
      <c r="UPF127" s="5"/>
      <c r="UPG127" s="5"/>
      <c r="UPH127" s="5"/>
      <c r="UPI127" s="5"/>
      <c r="UPJ127" s="5"/>
      <c r="UPK127" s="5"/>
      <c r="UPL127" s="5"/>
      <c r="UPM127" s="5"/>
      <c r="UPN127" s="5"/>
      <c r="UPO127" s="5"/>
      <c r="UPP127" s="5"/>
      <c r="UPQ127" s="5"/>
      <c r="UPR127" s="5"/>
      <c r="UPS127" s="5"/>
      <c r="UPT127" s="5"/>
      <c r="UPU127" s="5"/>
      <c r="UPV127" s="5"/>
      <c r="UPW127" s="5"/>
      <c r="UPX127" s="5"/>
      <c r="UPY127" s="5"/>
      <c r="UPZ127" s="5"/>
      <c r="UQA127" s="5"/>
      <c r="UQB127" s="5"/>
      <c r="UQC127" s="5"/>
      <c r="UQD127" s="5"/>
      <c r="UQE127" s="5"/>
      <c r="UQF127" s="5"/>
      <c r="UQG127" s="5"/>
      <c r="UQH127" s="5"/>
      <c r="UQI127" s="5"/>
      <c r="UQJ127" s="5"/>
      <c r="UQK127" s="5"/>
      <c r="UQL127" s="5"/>
      <c r="UQM127" s="5"/>
      <c r="UQN127" s="5"/>
      <c r="UQO127" s="5"/>
      <c r="UQP127" s="5"/>
      <c r="UQQ127" s="5"/>
      <c r="UQR127" s="5"/>
      <c r="UQS127" s="5"/>
      <c r="UQT127" s="5"/>
      <c r="UQU127" s="5"/>
      <c r="UQV127" s="5"/>
      <c r="UQW127" s="5"/>
      <c r="UQX127" s="5"/>
      <c r="UQY127" s="5"/>
      <c r="UQZ127" s="5"/>
      <c r="URA127" s="5"/>
      <c r="URB127" s="5"/>
      <c r="URC127" s="5"/>
      <c r="URD127" s="5"/>
      <c r="URE127" s="5"/>
      <c r="URF127" s="5"/>
      <c r="URG127" s="5"/>
      <c r="URH127" s="5"/>
      <c r="URI127" s="5"/>
      <c r="URJ127" s="5"/>
      <c r="URK127" s="5"/>
      <c r="URL127" s="5"/>
      <c r="URM127" s="5"/>
      <c r="URN127" s="5"/>
      <c r="URO127" s="5"/>
      <c r="URP127" s="5"/>
      <c r="URQ127" s="5"/>
      <c r="URR127" s="5"/>
      <c r="URS127" s="5"/>
      <c r="URT127" s="5"/>
      <c r="URU127" s="5"/>
      <c r="URV127" s="5"/>
      <c r="URW127" s="5"/>
      <c r="URX127" s="5"/>
      <c r="URY127" s="5"/>
      <c r="URZ127" s="5"/>
      <c r="USA127" s="5"/>
      <c r="USB127" s="5"/>
      <c r="USC127" s="5"/>
      <c r="USD127" s="5"/>
      <c r="USE127" s="5"/>
      <c r="USF127" s="5"/>
      <c r="USG127" s="5"/>
      <c r="USH127" s="5"/>
      <c r="USI127" s="5"/>
      <c r="USJ127" s="5"/>
      <c r="USK127" s="5"/>
      <c r="USL127" s="5"/>
      <c r="USM127" s="5"/>
      <c r="USN127" s="5"/>
      <c r="USO127" s="5"/>
      <c r="USP127" s="5"/>
      <c r="USQ127" s="5"/>
      <c r="USR127" s="5"/>
      <c r="USS127" s="5"/>
      <c r="UST127" s="5"/>
      <c r="USU127" s="5"/>
      <c r="USV127" s="5"/>
      <c r="USW127" s="5"/>
      <c r="USX127" s="5"/>
      <c r="USY127" s="5"/>
      <c r="USZ127" s="5"/>
      <c r="UTA127" s="5"/>
      <c r="UTB127" s="5"/>
      <c r="UTC127" s="5"/>
      <c r="UTD127" s="5"/>
      <c r="UTE127" s="5"/>
      <c r="UTF127" s="5"/>
      <c r="UTG127" s="5"/>
      <c r="UTH127" s="5"/>
      <c r="UTI127" s="5"/>
      <c r="UTJ127" s="5"/>
      <c r="UTK127" s="5"/>
      <c r="UTL127" s="5"/>
      <c r="UTM127" s="5"/>
      <c r="UTN127" s="5"/>
      <c r="UTO127" s="5"/>
      <c r="UTP127" s="5"/>
      <c r="UTQ127" s="5"/>
      <c r="UTR127" s="5"/>
      <c r="UTS127" s="5"/>
      <c r="UTT127" s="5"/>
      <c r="UTU127" s="5"/>
      <c r="UTV127" s="5"/>
      <c r="UTW127" s="5"/>
      <c r="UTX127" s="5"/>
      <c r="UTY127" s="5"/>
      <c r="UTZ127" s="5"/>
      <c r="UUA127" s="5"/>
      <c r="UUB127" s="5"/>
      <c r="UUC127" s="5"/>
      <c r="UUD127" s="5"/>
      <c r="UUE127" s="5"/>
      <c r="UUF127" s="5"/>
      <c r="UUG127" s="5"/>
      <c r="UUH127" s="5"/>
      <c r="UUI127" s="5"/>
      <c r="UUJ127" s="5"/>
      <c r="UUK127" s="5"/>
      <c r="UUL127" s="5"/>
      <c r="UUM127" s="5"/>
      <c r="UUN127" s="5"/>
      <c r="UUO127" s="5"/>
      <c r="UUP127" s="5"/>
      <c r="UUQ127" s="5"/>
      <c r="UUR127" s="5"/>
      <c r="UUS127" s="5"/>
      <c r="UUT127" s="5"/>
      <c r="UUU127" s="5"/>
      <c r="UUV127" s="5"/>
      <c r="UUW127" s="5"/>
      <c r="UUX127" s="5"/>
      <c r="UUY127" s="5"/>
      <c r="UUZ127" s="5"/>
      <c r="UVA127" s="5"/>
      <c r="UVB127" s="5"/>
      <c r="UVC127" s="5"/>
      <c r="UVD127" s="5"/>
      <c r="UVE127" s="5"/>
      <c r="UVF127" s="5"/>
      <c r="UVG127" s="5"/>
      <c r="UVH127" s="5"/>
      <c r="UVI127" s="5"/>
      <c r="UVJ127" s="5"/>
      <c r="UVK127" s="5"/>
      <c r="UVL127" s="5"/>
      <c r="UVM127" s="5"/>
      <c r="UVN127" s="5"/>
      <c r="UVO127" s="5"/>
      <c r="UVP127" s="5"/>
      <c r="UVQ127" s="5"/>
      <c r="UVR127" s="5"/>
      <c r="UVS127" s="5"/>
      <c r="UVT127" s="5"/>
      <c r="UVU127" s="5"/>
      <c r="UVV127" s="5"/>
      <c r="UVW127" s="5"/>
      <c r="UVX127" s="5"/>
      <c r="UVY127" s="5"/>
      <c r="UVZ127" s="5"/>
      <c r="UWA127" s="5"/>
      <c r="UWB127" s="5"/>
      <c r="UWC127" s="5"/>
      <c r="UWD127" s="5"/>
      <c r="UWE127" s="5"/>
      <c r="UWF127" s="5"/>
      <c r="UWG127" s="5"/>
      <c r="UWH127" s="5"/>
      <c r="UWI127" s="5"/>
      <c r="UWJ127" s="5"/>
      <c r="UWK127" s="5"/>
      <c r="UWL127" s="5"/>
      <c r="UWM127" s="5"/>
      <c r="UWN127" s="5"/>
      <c r="UWO127" s="5"/>
      <c r="UWP127" s="5"/>
      <c r="UWQ127" s="5"/>
      <c r="UWR127" s="5"/>
      <c r="UWS127" s="5"/>
      <c r="UWT127" s="5"/>
      <c r="UWU127" s="5"/>
      <c r="UWV127" s="5"/>
      <c r="UWW127" s="5"/>
      <c r="UWX127" s="5"/>
      <c r="UWY127" s="5"/>
      <c r="UWZ127" s="5"/>
      <c r="UXA127" s="5"/>
      <c r="UXB127" s="5"/>
      <c r="UXC127" s="5"/>
      <c r="UXD127" s="5"/>
      <c r="UXE127" s="5"/>
      <c r="UXF127" s="5"/>
      <c r="UXG127" s="5"/>
      <c r="UXH127" s="5"/>
      <c r="UXI127" s="5"/>
      <c r="UXJ127" s="5"/>
      <c r="UXK127" s="5"/>
      <c r="UXL127" s="5"/>
      <c r="UXM127" s="5"/>
      <c r="UXN127" s="5"/>
      <c r="UXO127" s="5"/>
      <c r="UXP127" s="5"/>
      <c r="UXQ127" s="5"/>
      <c r="UXR127" s="5"/>
      <c r="UXS127" s="5"/>
      <c r="UXT127" s="5"/>
      <c r="UXU127" s="5"/>
      <c r="UXV127" s="5"/>
      <c r="UXW127" s="5"/>
      <c r="UXX127" s="5"/>
      <c r="UXY127" s="5"/>
      <c r="UXZ127" s="5"/>
      <c r="UYA127" s="5"/>
      <c r="UYB127" s="5"/>
      <c r="UYC127" s="5"/>
      <c r="UYD127" s="5"/>
      <c r="UYE127" s="5"/>
      <c r="UYF127" s="5"/>
      <c r="UYG127" s="5"/>
      <c r="UYH127" s="5"/>
      <c r="UYI127" s="5"/>
      <c r="UYJ127" s="5"/>
      <c r="UYK127" s="5"/>
      <c r="UYL127" s="5"/>
      <c r="UYM127" s="5"/>
      <c r="UYN127" s="5"/>
      <c r="UYO127" s="5"/>
      <c r="UYP127" s="5"/>
      <c r="UYQ127" s="5"/>
      <c r="UYR127" s="5"/>
      <c r="UYS127" s="5"/>
      <c r="UYT127" s="5"/>
      <c r="UYU127" s="5"/>
      <c r="UYV127" s="5"/>
      <c r="UYW127" s="5"/>
      <c r="UYX127" s="5"/>
      <c r="UYY127" s="5"/>
      <c r="UYZ127" s="5"/>
      <c r="UZA127" s="5"/>
      <c r="UZB127" s="5"/>
      <c r="UZC127" s="5"/>
      <c r="UZD127" s="5"/>
      <c r="UZE127" s="5"/>
      <c r="UZF127" s="5"/>
      <c r="UZG127" s="5"/>
      <c r="UZH127" s="5"/>
      <c r="UZI127" s="5"/>
      <c r="UZJ127" s="5"/>
      <c r="UZK127" s="5"/>
      <c r="UZL127" s="5"/>
      <c r="UZM127" s="5"/>
      <c r="UZN127" s="5"/>
      <c r="UZO127" s="5"/>
      <c r="UZP127" s="5"/>
      <c r="UZQ127" s="5"/>
      <c r="UZR127" s="5"/>
      <c r="UZS127" s="5"/>
      <c r="UZT127" s="5"/>
      <c r="UZU127" s="5"/>
      <c r="UZV127" s="5"/>
      <c r="UZW127" s="5"/>
      <c r="UZX127" s="5"/>
      <c r="UZY127" s="5"/>
      <c r="UZZ127" s="5"/>
      <c r="VAA127" s="5"/>
      <c r="VAB127" s="5"/>
      <c r="VAC127" s="5"/>
      <c r="VAD127" s="5"/>
      <c r="VAE127" s="5"/>
      <c r="VAF127" s="5"/>
      <c r="VAG127" s="5"/>
      <c r="VAH127" s="5"/>
      <c r="VAI127" s="5"/>
      <c r="VAJ127" s="5"/>
      <c r="VAK127" s="5"/>
      <c r="VAL127" s="5"/>
      <c r="VAM127" s="5"/>
      <c r="VAN127" s="5"/>
      <c r="VAO127" s="5"/>
      <c r="VAP127" s="5"/>
      <c r="VAQ127" s="5"/>
      <c r="VAR127" s="5"/>
      <c r="VAS127" s="5"/>
      <c r="VAT127" s="5"/>
      <c r="VAU127" s="5"/>
      <c r="VAV127" s="5"/>
      <c r="VAW127" s="5"/>
      <c r="VAX127" s="5"/>
      <c r="VAY127" s="5"/>
      <c r="VAZ127" s="5"/>
      <c r="VBA127" s="5"/>
      <c r="VBB127" s="5"/>
      <c r="VBC127" s="5"/>
      <c r="VBD127" s="5"/>
      <c r="VBE127" s="5"/>
      <c r="VBF127" s="5"/>
      <c r="VBG127" s="5"/>
      <c r="VBH127" s="5"/>
      <c r="VBI127" s="5"/>
      <c r="VBJ127" s="5"/>
      <c r="VBK127" s="5"/>
      <c r="VBL127" s="5"/>
      <c r="VBM127" s="5"/>
      <c r="VBN127" s="5"/>
      <c r="VBO127" s="5"/>
      <c r="VBP127" s="5"/>
      <c r="VBQ127" s="5"/>
      <c r="VBR127" s="5"/>
      <c r="VBS127" s="5"/>
      <c r="VBT127" s="5"/>
      <c r="VBU127" s="5"/>
      <c r="VBV127" s="5"/>
      <c r="VBW127" s="5"/>
      <c r="VBX127" s="5"/>
      <c r="VBY127" s="5"/>
      <c r="VBZ127" s="5"/>
      <c r="VCA127" s="5"/>
      <c r="VCB127" s="5"/>
      <c r="VCC127" s="5"/>
      <c r="VCD127" s="5"/>
      <c r="VCE127" s="5"/>
      <c r="VCF127" s="5"/>
      <c r="VCG127" s="5"/>
      <c r="VCH127" s="5"/>
      <c r="VCI127" s="5"/>
      <c r="VCJ127" s="5"/>
      <c r="VCK127" s="5"/>
      <c r="VCL127" s="5"/>
      <c r="VCM127" s="5"/>
      <c r="VCN127" s="5"/>
      <c r="VCO127" s="5"/>
      <c r="VCP127" s="5"/>
      <c r="VCQ127" s="5"/>
      <c r="VCR127" s="5"/>
      <c r="VCS127" s="5"/>
      <c r="VCT127" s="5"/>
      <c r="VCU127" s="5"/>
      <c r="VCV127" s="5"/>
      <c r="VCW127" s="5"/>
      <c r="VCX127" s="5"/>
      <c r="VCY127" s="5"/>
      <c r="VCZ127" s="5"/>
      <c r="VDA127" s="5"/>
      <c r="VDB127" s="5"/>
      <c r="VDC127" s="5"/>
      <c r="VDD127" s="5"/>
      <c r="VDE127" s="5"/>
      <c r="VDF127" s="5"/>
      <c r="VDG127" s="5"/>
      <c r="VDH127" s="5"/>
      <c r="VDI127" s="5"/>
      <c r="VDJ127" s="5"/>
      <c r="VDK127" s="5"/>
      <c r="VDL127" s="5"/>
      <c r="VDM127" s="5"/>
      <c r="VDN127" s="5"/>
      <c r="VDO127" s="5"/>
      <c r="VDP127" s="5"/>
      <c r="VDQ127" s="5"/>
      <c r="VDR127" s="5"/>
      <c r="VDS127" s="5"/>
      <c r="VDT127" s="5"/>
      <c r="VDU127" s="5"/>
      <c r="VDV127" s="5"/>
      <c r="VDW127" s="5"/>
      <c r="VDX127" s="5"/>
      <c r="VDY127" s="5"/>
      <c r="VDZ127" s="5"/>
      <c r="VEA127" s="5"/>
      <c r="VEB127" s="5"/>
      <c r="VEC127" s="5"/>
      <c r="VED127" s="5"/>
      <c r="VEE127" s="5"/>
      <c r="VEF127" s="5"/>
      <c r="VEG127" s="5"/>
      <c r="VEH127" s="5"/>
      <c r="VEI127" s="5"/>
      <c r="VEJ127" s="5"/>
      <c r="VEK127" s="5"/>
      <c r="VEL127" s="5"/>
      <c r="VEM127" s="5"/>
      <c r="VEN127" s="5"/>
      <c r="VEO127" s="5"/>
      <c r="VEP127" s="5"/>
      <c r="VEQ127" s="5"/>
      <c r="VER127" s="5"/>
      <c r="VES127" s="5"/>
      <c r="VET127" s="5"/>
      <c r="VEU127" s="5"/>
      <c r="VEV127" s="5"/>
      <c r="VEW127" s="5"/>
      <c r="VEX127" s="5"/>
      <c r="VEY127" s="5"/>
      <c r="VEZ127" s="5"/>
      <c r="VFA127" s="5"/>
      <c r="VFB127" s="5"/>
      <c r="VFC127" s="5"/>
      <c r="VFD127" s="5"/>
      <c r="VFE127" s="5"/>
      <c r="VFF127" s="5"/>
      <c r="VFG127" s="5"/>
      <c r="VFH127" s="5"/>
      <c r="VFI127" s="5"/>
      <c r="VFJ127" s="5"/>
      <c r="VFK127" s="5"/>
      <c r="VFL127" s="5"/>
      <c r="VFM127" s="5"/>
      <c r="VFN127" s="5"/>
      <c r="VFO127" s="5"/>
      <c r="VFP127" s="5"/>
      <c r="VFQ127" s="5"/>
      <c r="VFR127" s="5"/>
      <c r="VFS127" s="5"/>
      <c r="VFT127" s="5"/>
      <c r="VFU127" s="5"/>
      <c r="VFV127" s="5"/>
      <c r="VFW127" s="5"/>
      <c r="VFX127" s="5"/>
      <c r="VFY127" s="5"/>
      <c r="VFZ127" s="5"/>
      <c r="VGA127" s="5"/>
      <c r="VGB127" s="5"/>
      <c r="VGC127" s="5"/>
      <c r="VGD127" s="5"/>
      <c r="VGE127" s="5"/>
      <c r="VGF127" s="5"/>
      <c r="VGG127" s="5"/>
      <c r="VGH127" s="5"/>
      <c r="VGI127" s="5"/>
      <c r="VGJ127" s="5"/>
      <c r="VGK127" s="5"/>
      <c r="VGL127" s="5"/>
      <c r="VGM127" s="5"/>
      <c r="VGN127" s="5"/>
      <c r="VGO127" s="5"/>
      <c r="VGP127" s="5"/>
      <c r="VGQ127" s="5"/>
      <c r="VGR127" s="5"/>
      <c r="VGS127" s="5"/>
      <c r="VGT127" s="5"/>
      <c r="VGU127" s="5"/>
      <c r="VGV127" s="5"/>
      <c r="VGW127" s="5"/>
      <c r="VGX127" s="5"/>
      <c r="VGY127" s="5"/>
      <c r="VGZ127" s="5"/>
      <c r="VHA127" s="5"/>
      <c r="VHB127" s="5"/>
      <c r="VHC127" s="5"/>
      <c r="VHD127" s="5"/>
      <c r="VHE127" s="5"/>
      <c r="VHF127" s="5"/>
      <c r="VHG127" s="5"/>
      <c r="VHH127" s="5"/>
      <c r="VHI127" s="5"/>
      <c r="VHJ127" s="5"/>
      <c r="VHK127" s="5"/>
      <c r="VHL127" s="5"/>
      <c r="VHM127" s="5"/>
      <c r="VHN127" s="5"/>
      <c r="VHO127" s="5"/>
      <c r="VHP127" s="5"/>
      <c r="VHQ127" s="5"/>
      <c r="VHR127" s="5"/>
      <c r="VHS127" s="5"/>
      <c r="VHT127" s="5"/>
      <c r="VHU127" s="5"/>
      <c r="VHV127" s="5"/>
      <c r="VHW127" s="5"/>
      <c r="VHX127" s="5"/>
      <c r="VHY127" s="5"/>
      <c r="VHZ127" s="5"/>
      <c r="VIA127" s="5"/>
      <c r="VIB127" s="5"/>
      <c r="VIC127" s="5"/>
      <c r="VID127" s="5"/>
      <c r="VIE127" s="5"/>
      <c r="VIF127" s="5"/>
      <c r="VIG127" s="5"/>
      <c r="VIH127" s="5"/>
      <c r="VII127" s="5"/>
      <c r="VIJ127" s="5"/>
      <c r="VIK127" s="5"/>
      <c r="VIL127" s="5"/>
      <c r="VIM127" s="5"/>
      <c r="VIN127" s="5"/>
      <c r="VIO127" s="5"/>
      <c r="VIP127" s="5"/>
      <c r="VIQ127" s="5"/>
      <c r="VIR127" s="5"/>
      <c r="VIS127" s="5"/>
      <c r="VIT127" s="5"/>
      <c r="VIU127" s="5"/>
      <c r="VIV127" s="5"/>
      <c r="VIW127" s="5"/>
      <c r="VIX127" s="5"/>
      <c r="VIY127" s="5"/>
      <c r="VIZ127" s="5"/>
      <c r="VJA127" s="5"/>
      <c r="VJB127" s="5"/>
      <c r="VJC127" s="5"/>
      <c r="VJD127" s="5"/>
      <c r="VJE127" s="5"/>
      <c r="VJF127" s="5"/>
      <c r="VJG127" s="5"/>
      <c r="VJH127" s="5"/>
      <c r="VJI127" s="5"/>
      <c r="VJJ127" s="5"/>
      <c r="VJK127" s="5"/>
      <c r="VJL127" s="5"/>
      <c r="VJM127" s="5"/>
      <c r="VJN127" s="5"/>
      <c r="VJO127" s="5"/>
      <c r="VJP127" s="5"/>
      <c r="VJQ127" s="5"/>
      <c r="VJR127" s="5"/>
      <c r="VJS127" s="5"/>
      <c r="VJT127" s="5"/>
      <c r="VJU127" s="5"/>
      <c r="VJV127" s="5"/>
      <c r="VJW127" s="5"/>
      <c r="VJX127" s="5"/>
      <c r="VJY127" s="5"/>
      <c r="VJZ127" s="5"/>
      <c r="VKA127" s="5"/>
      <c r="VKB127" s="5"/>
      <c r="VKC127" s="5"/>
      <c r="VKD127" s="5"/>
      <c r="VKE127" s="5"/>
      <c r="VKF127" s="5"/>
      <c r="VKG127" s="5"/>
      <c r="VKH127" s="5"/>
      <c r="VKI127" s="5"/>
      <c r="VKJ127" s="5"/>
      <c r="VKK127" s="5"/>
      <c r="VKL127" s="5"/>
      <c r="VKM127" s="5"/>
      <c r="VKN127" s="5"/>
      <c r="VKO127" s="5"/>
      <c r="VKP127" s="5"/>
      <c r="VKQ127" s="5"/>
      <c r="VKR127" s="5"/>
      <c r="VKS127" s="5"/>
      <c r="VKT127" s="5"/>
      <c r="VKU127" s="5"/>
      <c r="VKV127" s="5"/>
      <c r="VKW127" s="5"/>
      <c r="VKX127" s="5"/>
      <c r="VKY127" s="5"/>
      <c r="VKZ127" s="5"/>
      <c r="VLA127" s="5"/>
      <c r="VLB127" s="5"/>
      <c r="VLC127" s="5"/>
      <c r="VLD127" s="5"/>
      <c r="VLE127" s="5"/>
      <c r="VLF127" s="5"/>
      <c r="VLG127" s="5"/>
      <c r="VLH127" s="5"/>
      <c r="VLI127" s="5"/>
      <c r="VLJ127" s="5"/>
      <c r="VLK127" s="5"/>
      <c r="VLL127" s="5"/>
      <c r="VLM127" s="5"/>
      <c r="VLN127" s="5"/>
      <c r="VLO127" s="5"/>
      <c r="VLP127" s="5"/>
      <c r="VLQ127" s="5"/>
      <c r="VLR127" s="5"/>
      <c r="VLS127" s="5"/>
      <c r="VLT127" s="5"/>
      <c r="VLU127" s="5"/>
      <c r="VLV127" s="5"/>
      <c r="VLW127" s="5"/>
      <c r="VLX127" s="5"/>
      <c r="VLY127" s="5"/>
      <c r="VLZ127" s="5"/>
      <c r="VMA127" s="5"/>
      <c r="VMB127" s="5"/>
      <c r="VMC127" s="5"/>
      <c r="VMD127" s="5"/>
      <c r="VME127" s="5"/>
      <c r="VMF127" s="5"/>
      <c r="VMG127" s="5"/>
      <c r="VMH127" s="5"/>
      <c r="VMI127" s="5"/>
      <c r="VMJ127" s="5"/>
      <c r="VMK127" s="5"/>
      <c r="VML127" s="5"/>
      <c r="VMM127" s="5"/>
      <c r="VMN127" s="5"/>
      <c r="VMO127" s="5"/>
      <c r="VMP127" s="5"/>
      <c r="VMQ127" s="5"/>
      <c r="VMR127" s="5"/>
      <c r="VMS127" s="5"/>
      <c r="VMT127" s="5"/>
      <c r="VMU127" s="5"/>
      <c r="VMV127" s="5"/>
      <c r="VMW127" s="5"/>
      <c r="VMX127" s="5"/>
      <c r="VMY127" s="5"/>
      <c r="VMZ127" s="5"/>
      <c r="VNA127" s="5"/>
      <c r="VNB127" s="5"/>
      <c r="VNC127" s="5"/>
      <c r="VND127" s="5"/>
      <c r="VNE127" s="5"/>
      <c r="VNF127" s="5"/>
      <c r="VNG127" s="5"/>
      <c r="VNH127" s="5"/>
      <c r="VNI127" s="5"/>
      <c r="VNJ127" s="5"/>
      <c r="VNK127" s="5"/>
      <c r="VNL127" s="5"/>
      <c r="VNM127" s="5"/>
      <c r="VNN127" s="5"/>
      <c r="VNO127" s="5"/>
      <c r="VNP127" s="5"/>
      <c r="VNQ127" s="5"/>
      <c r="VNR127" s="5"/>
      <c r="VNS127" s="5"/>
      <c r="VNT127" s="5"/>
      <c r="VNU127" s="5"/>
      <c r="VNV127" s="5"/>
      <c r="VNW127" s="5"/>
      <c r="VNX127" s="5"/>
      <c r="VNY127" s="5"/>
      <c r="VNZ127" s="5"/>
      <c r="VOA127" s="5"/>
      <c r="VOB127" s="5"/>
      <c r="VOC127" s="5"/>
      <c r="VOD127" s="5"/>
      <c r="VOE127" s="5"/>
      <c r="VOF127" s="5"/>
      <c r="VOG127" s="5"/>
      <c r="VOH127" s="5"/>
      <c r="VOI127" s="5"/>
      <c r="VOJ127" s="5"/>
      <c r="VOK127" s="5"/>
      <c r="VOL127" s="5"/>
      <c r="VOM127" s="5"/>
      <c r="VON127" s="5"/>
      <c r="VOO127" s="5"/>
      <c r="VOP127" s="5"/>
      <c r="VOQ127" s="5"/>
      <c r="VOR127" s="5"/>
      <c r="VOS127" s="5"/>
      <c r="VOT127" s="5"/>
      <c r="VOU127" s="5"/>
      <c r="VOV127" s="5"/>
      <c r="VOW127" s="5"/>
      <c r="VOX127" s="5"/>
      <c r="VOY127" s="5"/>
      <c r="VOZ127" s="5"/>
      <c r="VPA127" s="5"/>
      <c r="VPB127" s="5"/>
      <c r="VPC127" s="5"/>
      <c r="VPD127" s="5"/>
      <c r="VPE127" s="5"/>
      <c r="VPF127" s="5"/>
      <c r="VPG127" s="5"/>
      <c r="VPH127" s="5"/>
      <c r="VPI127" s="5"/>
      <c r="VPJ127" s="5"/>
      <c r="VPK127" s="5"/>
      <c r="VPL127" s="5"/>
      <c r="VPM127" s="5"/>
      <c r="VPN127" s="5"/>
      <c r="VPO127" s="5"/>
      <c r="VPP127" s="5"/>
      <c r="VPQ127" s="5"/>
      <c r="VPR127" s="5"/>
      <c r="VPS127" s="5"/>
      <c r="VPT127" s="5"/>
      <c r="VPU127" s="5"/>
      <c r="VPV127" s="5"/>
      <c r="VPW127" s="5"/>
      <c r="VPX127" s="5"/>
      <c r="VPY127" s="5"/>
      <c r="VPZ127" s="5"/>
      <c r="VQA127" s="5"/>
      <c r="VQB127" s="5"/>
      <c r="VQC127" s="5"/>
      <c r="VQD127" s="5"/>
      <c r="VQE127" s="5"/>
      <c r="VQF127" s="5"/>
      <c r="VQG127" s="5"/>
      <c r="VQH127" s="5"/>
      <c r="VQI127" s="5"/>
      <c r="VQJ127" s="5"/>
      <c r="VQK127" s="5"/>
      <c r="VQL127" s="5"/>
      <c r="VQM127" s="5"/>
      <c r="VQN127" s="5"/>
      <c r="VQO127" s="5"/>
      <c r="VQP127" s="5"/>
      <c r="VQQ127" s="5"/>
      <c r="VQR127" s="5"/>
      <c r="VQS127" s="5"/>
      <c r="VQT127" s="5"/>
      <c r="VQU127" s="5"/>
      <c r="VQV127" s="5"/>
      <c r="VQW127" s="5"/>
      <c r="VQX127" s="5"/>
      <c r="VQY127" s="5"/>
      <c r="VQZ127" s="5"/>
      <c r="VRA127" s="5"/>
      <c r="VRB127" s="5"/>
      <c r="VRC127" s="5"/>
      <c r="VRD127" s="5"/>
      <c r="VRE127" s="5"/>
      <c r="VRF127" s="5"/>
      <c r="VRG127" s="5"/>
      <c r="VRH127" s="5"/>
      <c r="VRI127" s="5"/>
      <c r="VRJ127" s="5"/>
      <c r="VRK127" s="5"/>
      <c r="VRL127" s="5"/>
      <c r="VRM127" s="5"/>
      <c r="VRN127" s="5"/>
      <c r="VRO127" s="5"/>
      <c r="VRP127" s="5"/>
      <c r="VRQ127" s="5"/>
      <c r="VRR127" s="5"/>
      <c r="VRS127" s="5"/>
      <c r="VRT127" s="5"/>
      <c r="VRU127" s="5"/>
      <c r="VRV127" s="5"/>
      <c r="VRW127" s="5"/>
      <c r="VRX127" s="5"/>
      <c r="VRY127" s="5"/>
      <c r="VRZ127" s="5"/>
      <c r="VSA127" s="5"/>
      <c r="VSB127" s="5"/>
      <c r="VSC127" s="5"/>
      <c r="VSD127" s="5"/>
      <c r="VSE127" s="5"/>
      <c r="VSF127" s="5"/>
      <c r="VSG127" s="5"/>
      <c r="VSH127" s="5"/>
      <c r="VSI127" s="5"/>
      <c r="VSJ127" s="5"/>
      <c r="VSK127" s="5"/>
      <c r="VSL127" s="5"/>
      <c r="VSM127" s="5"/>
      <c r="VSN127" s="5"/>
      <c r="VSO127" s="5"/>
      <c r="VSP127" s="5"/>
      <c r="VSQ127" s="5"/>
      <c r="VSR127" s="5"/>
      <c r="VSS127" s="5"/>
      <c r="VST127" s="5"/>
      <c r="VSU127" s="5"/>
      <c r="VSV127" s="5"/>
      <c r="VSW127" s="5"/>
      <c r="VSX127" s="5"/>
      <c r="VSY127" s="5"/>
      <c r="VSZ127" s="5"/>
      <c r="VTA127" s="5"/>
      <c r="VTB127" s="5"/>
      <c r="VTC127" s="5"/>
      <c r="VTD127" s="5"/>
      <c r="VTE127" s="5"/>
      <c r="VTF127" s="5"/>
      <c r="VTG127" s="5"/>
      <c r="VTH127" s="5"/>
      <c r="VTI127" s="5"/>
      <c r="VTJ127" s="5"/>
      <c r="VTK127" s="5"/>
      <c r="VTL127" s="5"/>
      <c r="VTM127" s="5"/>
      <c r="VTN127" s="5"/>
      <c r="VTO127" s="5"/>
      <c r="VTP127" s="5"/>
      <c r="VTQ127" s="5"/>
      <c r="VTR127" s="5"/>
      <c r="VTS127" s="5"/>
      <c r="VTT127" s="5"/>
      <c r="VTU127" s="5"/>
      <c r="VTV127" s="5"/>
      <c r="VTW127" s="5"/>
      <c r="VTX127" s="5"/>
      <c r="VTY127" s="5"/>
      <c r="VTZ127" s="5"/>
      <c r="VUA127" s="5"/>
      <c r="VUB127" s="5"/>
      <c r="VUC127" s="5"/>
      <c r="VUD127" s="5"/>
      <c r="VUE127" s="5"/>
      <c r="VUF127" s="5"/>
      <c r="VUG127" s="5"/>
      <c r="VUH127" s="5"/>
      <c r="VUI127" s="5"/>
      <c r="VUJ127" s="5"/>
      <c r="VUK127" s="5"/>
      <c r="VUL127" s="5"/>
      <c r="VUM127" s="5"/>
      <c r="VUN127" s="5"/>
      <c r="VUO127" s="5"/>
      <c r="VUP127" s="5"/>
      <c r="VUQ127" s="5"/>
      <c r="VUR127" s="5"/>
      <c r="VUS127" s="5"/>
      <c r="VUT127" s="5"/>
      <c r="VUU127" s="5"/>
      <c r="VUV127" s="5"/>
      <c r="VUW127" s="5"/>
      <c r="VUX127" s="5"/>
      <c r="VUY127" s="5"/>
      <c r="VUZ127" s="5"/>
      <c r="VVA127" s="5"/>
      <c r="VVB127" s="5"/>
      <c r="VVC127" s="5"/>
      <c r="VVD127" s="5"/>
      <c r="VVE127" s="5"/>
      <c r="VVF127" s="5"/>
      <c r="VVG127" s="5"/>
      <c r="VVH127" s="5"/>
      <c r="VVI127" s="5"/>
      <c r="VVJ127" s="5"/>
      <c r="VVK127" s="5"/>
      <c r="VVL127" s="5"/>
      <c r="VVM127" s="5"/>
      <c r="VVN127" s="5"/>
      <c r="VVO127" s="5"/>
      <c r="VVP127" s="5"/>
      <c r="VVQ127" s="5"/>
      <c r="VVR127" s="5"/>
      <c r="VVS127" s="5"/>
      <c r="VVT127" s="5"/>
      <c r="VVU127" s="5"/>
      <c r="VVV127" s="5"/>
      <c r="VVW127" s="5"/>
      <c r="VVX127" s="5"/>
      <c r="VVY127" s="5"/>
      <c r="VVZ127" s="5"/>
      <c r="VWA127" s="5"/>
      <c r="VWB127" s="5"/>
      <c r="VWC127" s="5"/>
      <c r="VWD127" s="5"/>
      <c r="VWE127" s="5"/>
      <c r="VWF127" s="5"/>
      <c r="VWG127" s="5"/>
      <c r="VWH127" s="5"/>
      <c r="VWI127" s="5"/>
      <c r="VWJ127" s="5"/>
      <c r="VWK127" s="5"/>
      <c r="VWL127" s="5"/>
      <c r="VWM127" s="5"/>
      <c r="VWN127" s="5"/>
      <c r="VWO127" s="5"/>
      <c r="VWP127" s="5"/>
      <c r="VWQ127" s="5"/>
      <c r="VWR127" s="5"/>
      <c r="VWS127" s="5"/>
      <c r="VWT127" s="5"/>
      <c r="VWU127" s="5"/>
      <c r="VWV127" s="5"/>
      <c r="VWW127" s="5"/>
      <c r="VWX127" s="5"/>
      <c r="VWY127" s="5"/>
      <c r="VWZ127" s="5"/>
      <c r="VXA127" s="5"/>
      <c r="VXB127" s="5"/>
      <c r="VXC127" s="5"/>
      <c r="VXD127" s="5"/>
      <c r="VXE127" s="5"/>
      <c r="VXF127" s="5"/>
      <c r="VXG127" s="5"/>
      <c r="VXH127" s="5"/>
      <c r="VXI127" s="5"/>
      <c r="VXJ127" s="5"/>
      <c r="VXK127" s="5"/>
      <c r="VXL127" s="5"/>
      <c r="VXM127" s="5"/>
      <c r="VXN127" s="5"/>
      <c r="VXO127" s="5"/>
      <c r="VXP127" s="5"/>
      <c r="VXQ127" s="5"/>
      <c r="VXR127" s="5"/>
      <c r="VXS127" s="5"/>
      <c r="VXT127" s="5"/>
      <c r="VXU127" s="5"/>
      <c r="VXV127" s="5"/>
      <c r="VXW127" s="5"/>
      <c r="VXX127" s="5"/>
      <c r="VXY127" s="5"/>
      <c r="VXZ127" s="5"/>
      <c r="VYA127" s="5"/>
      <c r="VYB127" s="5"/>
      <c r="VYC127" s="5"/>
      <c r="VYD127" s="5"/>
      <c r="VYE127" s="5"/>
      <c r="VYF127" s="5"/>
      <c r="VYG127" s="5"/>
      <c r="VYH127" s="5"/>
      <c r="VYI127" s="5"/>
      <c r="VYJ127" s="5"/>
      <c r="VYK127" s="5"/>
      <c r="VYL127" s="5"/>
      <c r="VYM127" s="5"/>
      <c r="VYN127" s="5"/>
      <c r="VYO127" s="5"/>
      <c r="VYP127" s="5"/>
      <c r="VYQ127" s="5"/>
      <c r="VYR127" s="5"/>
      <c r="VYS127" s="5"/>
      <c r="VYT127" s="5"/>
      <c r="VYU127" s="5"/>
      <c r="VYV127" s="5"/>
      <c r="VYW127" s="5"/>
      <c r="VYX127" s="5"/>
      <c r="VYY127" s="5"/>
      <c r="VYZ127" s="5"/>
      <c r="VZA127" s="5"/>
      <c r="VZB127" s="5"/>
      <c r="VZC127" s="5"/>
      <c r="VZD127" s="5"/>
      <c r="VZE127" s="5"/>
      <c r="VZF127" s="5"/>
      <c r="VZG127" s="5"/>
      <c r="VZH127" s="5"/>
      <c r="VZI127" s="5"/>
      <c r="VZJ127" s="5"/>
      <c r="VZK127" s="5"/>
      <c r="VZL127" s="5"/>
      <c r="VZM127" s="5"/>
      <c r="VZN127" s="5"/>
      <c r="VZO127" s="5"/>
      <c r="VZP127" s="5"/>
      <c r="VZQ127" s="5"/>
      <c r="VZR127" s="5"/>
      <c r="VZS127" s="5"/>
      <c r="VZT127" s="5"/>
      <c r="VZU127" s="5"/>
      <c r="VZV127" s="5"/>
      <c r="VZW127" s="5"/>
      <c r="VZX127" s="5"/>
      <c r="VZY127" s="5"/>
      <c r="VZZ127" s="5"/>
      <c r="WAA127" s="5"/>
      <c r="WAB127" s="5"/>
      <c r="WAC127" s="5"/>
      <c r="WAD127" s="5"/>
      <c r="WAE127" s="5"/>
      <c r="WAF127" s="5"/>
      <c r="WAG127" s="5"/>
      <c r="WAH127" s="5"/>
      <c r="WAI127" s="5"/>
      <c r="WAJ127" s="5"/>
      <c r="WAK127" s="5"/>
      <c r="WAL127" s="5"/>
      <c r="WAM127" s="5"/>
      <c r="WAN127" s="5"/>
      <c r="WAO127" s="5"/>
      <c r="WAP127" s="5"/>
      <c r="WAQ127" s="5"/>
      <c r="WAR127" s="5"/>
      <c r="WAS127" s="5"/>
      <c r="WAT127" s="5"/>
      <c r="WAU127" s="5"/>
      <c r="WAV127" s="5"/>
      <c r="WAW127" s="5"/>
      <c r="WAX127" s="5"/>
      <c r="WAY127" s="5"/>
      <c r="WAZ127" s="5"/>
      <c r="WBA127" s="5"/>
      <c r="WBB127" s="5"/>
      <c r="WBC127" s="5"/>
      <c r="WBD127" s="5"/>
      <c r="WBE127" s="5"/>
      <c r="WBF127" s="5"/>
      <c r="WBG127" s="5"/>
      <c r="WBH127" s="5"/>
      <c r="WBI127" s="5"/>
      <c r="WBJ127" s="5"/>
      <c r="WBK127" s="5"/>
      <c r="WBL127" s="5"/>
      <c r="WBM127" s="5"/>
      <c r="WBN127" s="5"/>
      <c r="WBO127" s="5"/>
      <c r="WBP127" s="5"/>
      <c r="WBQ127" s="5"/>
      <c r="WBR127" s="5"/>
      <c r="WBS127" s="5"/>
      <c r="WBT127" s="5"/>
      <c r="WBU127" s="5"/>
      <c r="WBV127" s="5"/>
      <c r="WBW127" s="5"/>
      <c r="WBX127" s="5"/>
      <c r="WBY127" s="5"/>
      <c r="WBZ127" s="5"/>
      <c r="WCA127" s="5"/>
      <c r="WCB127" s="5"/>
      <c r="WCC127" s="5"/>
      <c r="WCD127" s="5"/>
      <c r="WCE127" s="5"/>
      <c r="WCF127" s="5"/>
      <c r="WCG127" s="5"/>
      <c r="WCH127" s="5"/>
      <c r="WCI127" s="5"/>
      <c r="WCJ127" s="5"/>
      <c r="WCK127" s="5"/>
      <c r="WCL127" s="5"/>
      <c r="WCM127" s="5"/>
      <c r="WCN127" s="5"/>
      <c r="WCO127" s="5"/>
      <c r="WCP127" s="5"/>
      <c r="WCQ127" s="5"/>
      <c r="WCR127" s="5"/>
      <c r="WCS127" s="5"/>
      <c r="WCT127" s="5"/>
      <c r="WCU127" s="5"/>
      <c r="WCV127" s="5"/>
      <c r="WCW127" s="5"/>
      <c r="WCX127" s="5"/>
      <c r="WCY127" s="5"/>
      <c r="WCZ127" s="5"/>
      <c r="WDA127" s="5"/>
      <c r="WDB127" s="5"/>
      <c r="WDC127" s="5"/>
      <c r="WDD127" s="5"/>
      <c r="WDE127" s="5"/>
      <c r="WDF127" s="5"/>
      <c r="WDG127" s="5"/>
      <c r="WDH127" s="5"/>
      <c r="WDI127" s="5"/>
      <c r="WDJ127" s="5"/>
      <c r="WDK127" s="5"/>
      <c r="WDL127" s="5"/>
      <c r="WDM127" s="5"/>
      <c r="WDN127" s="5"/>
      <c r="WDO127" s="5"/>
      <c r="WDP127" s="5"/>
      <c r="WDQ127" s="5"/>
      <c r="WDR127" s="5"/>
      <c r="WDS127" s="5"/>
      <c r="WDT127" s="5"/>
      <c r="WDU127" s="5"/>
      <c r="WDV127" s="5"/>
      <c r="WDW127" s="5"/>
      <c r="WDX127" s="5"/>
      <c r="WDY127" s="5"/>
      <c r="WDZ127" s="5"/>
      <c r="WEA127" s="5"/>
      <c r="WEB127" s="5"/>
      <c r="WEC127" s="5"/>
      <c r="WED127" s="5"/>
      <c r="WEE127" s="5"/>
      <c r="WEF127" s="5"/>
      <c r="WEG127" s="5"/>
      <c r="WEH127" s="5"/>
      <c r="WEI127" s="5"/>
      <c r="WEJ127" s="5"/>
      <c r="WEK127" s="5"/>
      <c r="WEL127" s="5"/>
      <c r="WEM127" s="5"/>
      <c r="WEN127" s="5"/>
      <c r="WEO127" s="5"/>
      <c r="WEP127" s="5"/>
      <c r="WEQ127" s="5"/>
      <c r="WER127" s="5"/>
      <c r="WES127" s="5"/>
      <c r="WET127" s="5"/>
      <c r="WEU127" s="5"/>
      <c r="WEV127" s="5"/>
      <c r="WEW127" s="5"/>
      <c r="WEX127" s="5"/>
      <c r="WEY127" s="5"/>
      <c r="WEZ127" s="5"/>
      <c r="WFA127" s="5"/>
      <c r="WFB127" s="5"/>
      <c r="WFC127" s="5"/>
      <c r="WFD127" s="5"/>
      <c r="WFE127" s="5"/>
      <c r="WFF127" s="5"/>
      <c r="WFG127" s="5"/>
      <c r="WFH127" s="5"/>
      <c r="WFI127" s="5"/>
      <c r="WFJ127" s="5"/>
      <c r="WFK127" s="5"/>
      <c r="WFL127" s="5"/>
      <c r="WFM127" s="5"/>
      <c r="WFN127" s="5"/>
      <c r="WFO127" s="5"/>
      <c r="WFP127" s="5"/>
      <c r="WFQ127" s="5"/>
      <c r="WFR127" s="5"/>
      <c r="WFS127" s="5"/>
      <c r="WFT127" s="5"/>
      <c r="WFU127" s="5"/>
      <c r="WFV127" s="5"/>
      <c r="WFW127" s="5"/>
      <c r="WFX127" s="5"/>
      <c r="WFY127" s="5"/>
      <c r="WFZ127" s="5"/>
      <c r="WGA127" s="5"/>
      <c r="WGB127" s="5"/>
      <c r="WGC127" s="5"/>
      <c r="WGD127" s="5"/>
      <c r="WGE127" s="5"/>
      <c r="WGF127" s="5"/>
      <c r="WGG127" s="5"/>
      <c r="WGH127" s="5"/>
      <c r="WGI127" s="5"/>
      <c r="WGJ127" s="5"/>
      <c r="WGK127" s="5"/>
      <c r="WGL127" s="5"/>
      <c r="WGM127" s="5"/>
      <c r="WGN127" s="5"/>
      <c r="WGO127" s="5"/>
      <c r="WGP127" s="5"/>
      <c r="WGQ127" s="5"/>
      <c r="WGR127" s="5"/>
      <c r="WGS127" s="5"/>
      <c r="WGT127" s="5"/>
      <c r="WGU127" s="5"/>
      <c r="WGV127" s="5"/>
      <c r="WGW127" s="5"/>
      <c r="WGX127" s="5"/>
      <c r="WGY127" s="5"/>
      <c r="WGZ127" s="5"/>
      <c r="WHA127" s="5"/>
      <c r="WHB127" s="5"/>
      <c r="WHC127" s="5"/>
      <c r="WHD127" s="5"/>
      <c r="WHE127" s="5"/>
      <c r="WHF127" s="5"/>
      <c r="WHG127" s="5"/>
      <c r="WHH127" s="5"/>
      <c r="WHI127" s="5"/>
      <c r="WHJ127" s="5"/>
      <c r="WHK127" s="5"/>
      <c r="WHL127" s="5"/>
      <c r="WHM127" s="5"/>
      <c r="WHN127" s="5"/>
      <c r="WHO127" s="5"/>
      <c r="WHP127" s="5"/>
      <c r="WHQ127" s="5"/>
      <c r="WHR127" s="5"/>
      <c r="WHS127" s="5"/>
      <c r="WHT127" s="5"/>
      <c r="WHU127" s="5"/>
      <c r="WHV127" s="5"/>
      <c r="WHW127" s="5"/>
      <c r="WHX127" s="5"/>
      <c r="WHY127" s="5"/>
      <c r="WHZ127" s="5"/>
      <c r="WIA127" s="5"/>
      <c r="WIB127" s="5"/>
      <c r="WIC127" s="5"/>
      <c r="WID127" s="5"/>
      <c r="WIE127" s="5"/>
      <c r="WIF127" s="5"/>
      <c r="WIG127" s="5"/>
      <c r="WIH127" s="5"/>
      <c r="WII127" s="5"/>
      <c r="WIJ127" s="5"/>
      <c r="WIK127" s="5"/>
      <c r="WIL127" s="5"/>
      <c r="WIM127" s="5"/>
      <c r="WIN127" s="5"/>
      <c r="WIO127" s="5"/>
      <c r="WIP127" s="5"/>
      <c r="WIQ127" s="5"/>
      <c r="WIR127" s="5"/>
      <c r="WIS127" s="5"/>
      <c r="WIT127" s="5"/>
      <c r="WIU127" s="5"/>
      <c r="WIV127" s="5"/>
      <c r="WIW127" s="5"/>
      <c r="WIX127" s="5"/>
      <c r="WIY127" s="5"/>
      <c r="WIZ127" s="5"/>
      <c r="WJA127" s="5"/>
      <c r="WJB127" s="5"/>
      <c r="WJC127" s="5"/>
      <c r="WJD127" s="5"/>
      <c r="WJE127" s="5"/>
      <c r="WJF127" s="5"/>
      <c r="WJG127" s="5"/>
      <c r="WJH127" s="5"/>
      <c r="WJI127" s="5"/>
      <c r="WJJ127" s="5"/>
      <c r="WJK127" s="5"/>
      <c r="WJL127" s="5"/>
      <c r="WJM127" s="5"/>
      <c r="WJN127" s="5"/>
      <c r="WJO127" s="5"/>
      <c r="WJP127" s="5"/>
      <c r="WJQ127" s="5"/>
      <c r="WJR127" s="5"/>
      <c r="WJS127" s="5"/>
      <c r="WJT127" s="5"/>
      <c r="WJU127" s="5"/>
      <c r="WJV127" s="5"/>
      <c r="WJW127" s="5"/>
      <c r="WJX127" s="5"/>
      <c r="WJY127" s="5"/>
      <c r="WJZ127" s="5"/>
      <c r="WKA127" s="5"/>
      <c r="WKB127" s="5"/>
      <c r="WKC127" s="5"/>
      <c r="WKD127" s="5"/>
      <c r="WKE127" s="5"/>
      <c r="WKF127" s="5"/>
      <c r="WKG127" s="5"/>
      <c r="WKH127" s="5"/>
      <c r="WKI127" s="5"/>
      <c r="WKJ127" s="5"/>
      <c r="WKK127" s="5"/>
      <c r="WKL127" s="5"/>
      <c r="WKM127" s="5"/>
      <c r="WKN127" s="5"/>
      <c r="WKO127" s="5"/>
      <c r="WKP127" s="5"/>
      <c r="WKQ127" s="5"/>
      <c r="WKR127" s="5"/>
      <c r="WKS127" s="5"/>
      <c r="WKT127" s="5"/>
      <c r="WKU127" s="5"/>
      <c r="WKV127" s="5"/>
      <c r="WKW127" s="5"/>
      <c r="WKX127" s="5"/>
      <c r="WKY127" s="5"/>
      <c r="WKZ127" s="5"/>
      <c r="WLA127" s="5"/>
      <c r="WLB127" s="5"/>
      <c r="WLC127" s="5"/>
      <c r="WLD127" s="5"/>
      <c r="WLE127" s="5"/>
      <c r="WLF127" s="5"/>
      <c r="WLG127" s="5"/>
      <c r="WLH127" s="5"/>
      <c r="WLI127" s="5"/>
      <c r="WLJ127" s="5"/>
      <c r="WLK127" s="5"/>
      <c r="WLL127" s="5"/>
      <c r="WLM127" s="5"/>
      <c r="WLN127" s="5"/>
      <c r="WLO127" s="5"/>
      <c r="WLP127" s="5"/>
      <c r="WLQ127" s="5"/>
      <c r="WLR127" s="5"/>
      <c r="WLS127" s="5"/>
      <c r="WLT127" s="5"/>
      <c r="WLU127" s="5"/>
      <c r="WLV127" s="5"/>
      <c r="WLW127" s="5"/>
      <c r="WLX127" s="5"/>
      <c r="WLY127" s="5"/>
      <c r="WLZ127" s="5"/>
      <c r="WMA127" s="5"/>
      <c r="WMB127" s="5"/>
      <c r="WMC127" s="5"/>
      <c r="WMD127" s="5"/>
      <c r="WME127" s="5"/>
      <c r="WMF127" s="5"/>
      <c r="WMG127" s="5"/>
      <c r="WMH127" s="5"/>
      <c r="WMI127" s="5"/>
      <c r="WMJ127" s="5"/>
      <c r="WMK127" s="5"/>
      <c r="WML127" s="5"/>
      <c r="WMM127" s="5"/>
      <c r="WMN127" s="5"/>
      <c r="WMO127" s="5"/>
      <c r="WMP127" s="5"/>
      <c r="WMQ127" s="5"/>
      <c r="WMR127" s="5"/>
      <c r="WMS127" s="5"/>
      <c r="WMT127" s="5"/>
      <c r="WMU127" s="5"/>
      <c r="WMV127" s="5"/>
      <c r="WMW127" s="5"/>
      <c r="WMX127" s="5"/>
      <c r="WMY127" s="5"/>
      <c r="WMZ127" s="5"/>
      <c r="WNA127" s="5"/>
      <c r="WNB127" s="5"/>
      <c r="WNC127" s="5"/>
      <c r="WND127" s="5"/>
      <c r="WNE127" s="5"/>
      <c r="WNF127" s="5"/>
      <c r="WNG127" s="5"/>
      <c r="WNH127" s="5"/>
      <c r="WNI127" s="5"/>
      <c r="WNJ127" s="5"/>
      <c r="WNK127" s="5"/>
      <c r="WNL127" s="5"/>
      <c r="WNM127" s="5"/>
      <c r="WNN127" s="5"/>
      <c r="WNO127" s="5"/>
      <c r="WNP127" s="5"/>
      <c r="WNQ127" s="5"/>
      <c r="WNR127" s="5"/>
      <c r="WNS127" s="5"/>
      <c r="WNT127" s="5"/>
      <c r="WNU127" s="5"/>
      <c r="WNV127" s="5"/>
      <c r="WNW127" s="5"/>
      <c r="WNX127" s="5"/>
      <c r="WNY127" s="5"/>
      <c r="WNZ127" s="5"/>
      <c r="WOA127" s="5"/>
      <c r="WOB127" s="5"/>
      <c r="WOC127" s="5"/>
      <c r="WOD127" s="5"/>
      <c r="WOE127" s="5"/>
      <c r="WOF127" s="5"/>
      <c r="WOG127" s="5"/>
      <c r="WOH127" s="5"/>
      <c r="WOI127" s="5"/>
      <c r="WOJ127" s="5"/>
      <c r="WOK127" s="5"/>
      <c r="WOL127" s="5"/>
      <c r="WOM127" s="5"/>
      <c r="WON127" s="5"/>
      <c r="WOO127" s="5"/>
      <c r="WOP127" s="5"/>
      <c r="WOQ127" s="5"/>
      <c r="WOR127" s="5"/>
      <c r="WOS127" s="5"/>
      <c r="WOT127" s="5"/>
      <c r="WOU127" s="5"/>
      <c r="WOV127" s="5"/>
      <c r="WOW127" s="5"/>
      <c r="WOX127" s="5"/>
      <c r="WOY127" s="5"/>
      <c r="WOZ127" s="5"/>
      <c r="WPA127" s="5"/>
      <c r="WPB127" s="5"/>
      <c r="WPC127" s="5"/>
      <c r="WPD127" s="5"/>
      <c r="WPE127" s="5"/>
      <c r="WPF127" s="5"/>
      <c r="WPG127" s="5"/>
      <c r="WPH127" s="5"/>
      <c r="WPI127" s="5"/>
      <c r="WPJ127" s="5"/>
      <c r="WPK127" s="5"/>
      <c r="WPL127" s="5"/>
      <c r="WPM127" s="5"/>
      <c r="WPN127" s="5"/>
      <c r="WPO127" s="5"/>
      <c r="WPP127" s="5"/>
      <c r="WPQ127" s="5"/>
      <c r="WPR127" s="5"/>
      <c r="WPS127" s="5"/>
      <c r="WPT127" s="5"/>
      <c r="WPU127" s="5"/>
      <c r="WPV127" s="5"/>
      <c r="WPW127" s="5"/>
      <c r="WPX127" s="5"/>
      <c r="WPY127" s="5"/>
      <c r="WPZ127" s="5"/>
      <c r="WQA127" s="5"/>
      <c r="WQB127" s="5"/>
      <c r="WQC127" s="5"/>
      <c r="WQD127" s="5"/>
      <c r="WQE127" s="5"/>
      <c r="WQF127" s="5"/>
      <c r="WQG127" s="5"/>
      <c r="WQH127" s="5"/>
      <c r="WQI127" s="5"/>
      <c r="WQJ127" s="5"/>
      <c r="WQK127" s="5"/>
      <c r="WQL127" s="5"/>
      <c r="WQM127" s="5"/>
      <c r="WQN127" s="5"/>
      <c r="WQO127" s="5"/>
      <c r="WQP127" s="5"/>
      <c r="WQQ127" s="5"/>
      <c r="WQR127" s="5"/>
      <c r="WQS127" s="5"/>
      <c r="WQT127" s="5"/>
      <c r="WQU127" s="5"/>
      <c r="WQV127" s="5"/>
      <c r="WQW127" s="5"/>
      <c r="WQX127" s="5"/>
      <c r="WQY127" s="5"/>
      <c r="WQZ127" s="5"/>
      <c r="WRA127" s="5"/>
      <c r="WRB127" s="5"/>
      <c r="WRC127" s="5"/>
      <c r="WRD127" s="5"/>
      <c r="WRE127" s="5"/>
      <c r="WRF127" s="5"/>
      <c r="WRG127" s="5"/>
      <c r="WRH127" s="5"/>
      <c r="WRI127" s="5"/>
      <c r="WRJ127" s="5"/>
      <c r="WRK127" s="5"/>
      <c r="WRL127" s="5"/>
      <c r="WRM127" s="5"/>
      <c r="WRN127" s="5"/>
      <c r="WRO127" s="5"/>
      <c r="WRP127" s="5"/>
      <c r="WRQ127" s="5"/>
      <c r="WRR127" s="5"/>
      <c r="WRS127" s="5"/>
      <c r="WRT127" s="5"/>
      <c r="WRU127" s="5"/>
      <c r="WRV127" s="5"/>
      <c r="WRW127" s="5"/>
      <c r="WRX127" s="5"/>
      <c r="WRY127" s="5"/>
      <c r="WRZ127" s="5"/>
      <c r="WSA127" s="5"/>
      <c r="WSB127" s="5"/>
      <c r="WSC127" s="5"/>
      <c r="WSD127" s="5"/>
      <c r="WSE127" s="5"/>
      <c r="WSF127" s="5"/>
      <c r="WSG127" s="5"/>
      <c r="WSH127" s="5"/>
      <c r="WSI127" s="5"/>
      <c r="WSJ127" s="5"/>
      <c r="WSK127" s="5"/>
      <c r="WSL127" s="5"/>
      <c r="WSM127" s="5"/>
      <c r="WSN127" s="5"/>
      <c r="WSO127" s="5"/>
      <c r="WSP127" s="5"/>
      <c r="WSQ127" s="5"/>
      <c r="WSR127" s="5"/>
      <c r="WSS127" s="5"/>
      <c r="WST127" s="5"/>
      <c r="WSU127" s="5"/>
      <c r="WSV127" s="5"/>
      <c r="WSW127" s="5"/>
      <c r="WSX127" s="5"/>
      <c r="WSY127" s="5"/>
      <c r="WSZ127" s="5"/>
      <c r="WTA127" s="5"/>
      <c r="WTB127" s="5"/>
      <c r="WTC127" s="5"/>
      <c r="WTD127" s="5"/>
      <c r="WTE127" s="5"/>
      <c r="WTF127" s="5"/>
      <c r="WTG127" s="5"/>
      <c r="WTH127" s="5"/>
      <c r="WTI127" s="5"/>
      <c r="WTJ127" s="5"/>
      <c r="WTK127" s="5"/>
      <c r="WTL127" s="5"/>
      <c r="WTM127" s="5"/>
      <c r="WTN127" s="5"/>
      <c r="WTO127" s="5"/>
      <c r="WTP127" s="5"/>
      <c r="WTQ127" s="5"/>
      <c r="WTR127" s="5"/>
      <c r="WTS127" s="5"/>
      <c r="WTT127" s="5"/>
      <c r="WTU127" s="5"/>
      <c r="WTV127" s="5"/>
      <c r="WTW127" s="5"/>
      <c r="WTX127" s="5"/>
      <c r="WTY127" s="5"/>
      <c r="WTZ127" s="5"/>
      <c r="WUA127" s="5"/>
      <c r="WUB127" s="5"/>
      <c r="WUC127" s="5"/>
      <c r="WUD127" s="5"/>
      <c r="WUE127" s="5"/>
      <c r="WUF127" s="5"/>
      <c r="WUG127" s="5"/>
      <c r="WUH127" s="5"/>
      <c r="WUI127" s="5"/>
      <c r="WUJ127" s="5"/>
      <c r="WUK127" s="5"/>
      <c r="WUL127" s="5"/>
      <c r="WUM127" s="5"/>
      <c r="WUN127" s="5"/>
      <c r="WUO127" s="5"/>
      <c r="WUP127" s="5"/>
      <c r="WUQ127" s="5"/>
      <c r="WUR127" s="5"/>
      <c r="WUS127" s="5"/>
      <c r="WUT127" s="5"/>
      <c r="WUU127" s="5"/>
      <c r="WUV127" s="5"/>
      <c r="WUW127" s="5"/>
      <c r="WUX127" s="5"/>
      <c r="WUY127" s="5"/>
      <c r="WUZ127" s="5"/>
      <c r="WVA127" s="5"/>
      <c r="WVB127" s="5"/>
      <c r="WVC127" s="5"/>
      <c r="WVD127" s="5"/>
      <c r="WVE127" s="5"/>
      <c r="WVF127" s="5"/>
      <c r="WVG127" s="5"/>
      <c r="WVH127" s="5"/>
      <c r="WVI127" s="5"/>
      <c r="WVJ127" s="5"/>
      <c r="WVK127" s="5"/>
      <c r="WVL127" s="5"/>
      <c r="WVM127" s="5"/>
      <c r="WVN127" s="5"/>
      <c r="WVO127" s="5"/>
      <c r="WVP127" s="5"/>
      <c r="WVQ127" s="5"/>
      <c r="WVR127" s="5"/>
      <c r="WVS127" s="5"/>
      <c r="WVT127" s="5"/>
      <c r="WVU127" s="5"/>
      <c r="WVV127" s="5"/>
      <c r="WVW127" s="5"/>
      <c r="WVX127" s="5"/>
      <c r="WVY127" s="5"/>
      <c r="WVZ127" s="5"/>
      <c r="WWA127" s="5"/>
      <c r="WWB127" s="5"/>
      <c r="WWC127" s="5"/>
      <c r="WWD127" s="5"/>
      <c r="WWE127" s="5"/>
      <c r="WWF127" s="5"/>
      <c r="WWG127" s="5"/>
      <c r="WWH127" s="5"/>
      <c r="WWI127" s="5"/>
      <c r="WWJ127" s="5"/>
      <c r="WWK127" s="5"/>
      <c r="WWL127" s="5"/>
      <c r="WWM127" s="5"/>
      <c r="WWN127" s="5"/>
      <c r="WWO127" s="5"/>
      <c r="WWP127" s="5"/>
      <c r="WWQ127" s="5"/>
      <c r="WWR127" s="5"/>
      <c r="WWS127" s="5"/>
      <c r="WWT127" s="5"/>
      <c r="WWU127" s="5"/>
      <c r="WWV127" s="5"/>
      <c r="WWW127" s="5"/>
      <c r="WWX127" s="5"/>
      <c r="WWY127" s="5"/>
      <c r="WWZ127" s="5"/>
      <c r="WXA127" s="5"/>
      <c r="WXB127" s="5"/>
      <c r="WXC127" s="5"/>
      <c r="WXD127" s="5"/>
      <c r="WXE127" s="5"/>
      <c r="WXF127" s="5"/>
      <c r="WXG127" s="5"/>
      <c r="WXH127" s="5"/>
      <c r="WXI127" s="5"/>
      <c r="WXJ127" s="5"/>
      <c r="WXK127" s="5"/>
      <c r="WXL127" s="5"/>
      <c r="WXM127" s="5"/>
      <c r="WXN127" s="5"/>
      <c r="WXO127" s="5"/>
      <c r="WXP127" s="5"/>
      <c r="WXQ127" s="5"/>
      <c r="WXR127" s="5"/>
      <c r="WXS127" s="5"/>
      <c r="WXT127" s="5"/>
      <c r="WXU127" s="5"/>
      <c r="WXV127" s="5"/>
      <c r="WXW127" s="5"/>
      <c r="WXX127" s="5"/>
      <c r="WXY127" s="5"/>
      <c r="WXZ127" s="5"/>
      <c r="WYA127" s="5"/>
      <c r="WYB127" s="5"/>
      <c r="WYC127" s="5"/>
      <c r="WYD127" s="5"/>
      <c r="WYE127" s="5"/>
      <c r="WYF127" s="5"/>
      <c r="WYG127" s="5"/>
      <c r="WYH127" s="5"/>
      <c r="WYI127" s="5"/>
      <c r="WYJ127" s="5"/>
      <c r="WYK127" s="5"/>
      <c r="WYL127" s="5"/>
      <c r="WYM127" s="5"/>
      <c r="WYN127" s="5"/>
      <c r="WYO127" s="5"/>
      <c r="WYP127" s="5"/>
      <c r="WYQ127" s="5"/>
      <c r="WYR127" s="5"/>
      <c r="WYS127" s="5"/>
      <c r="WYT127" s="5"/>
      <c r="WYU127" s="5"/>
      <c r="WYV127" s="5"/>
      <c r="WYW127" s="5"/>
      <c r="WYX127" s="5"/>
      <c r="WYY127" s="5"/>
      <c r="WYZ127" s="5"/>
      <c r="WZA127" s="5"/>
      <c r="WZB127" s="5"/>
      <c r="WZC127" s="5"/>
      <c r="WZD127" s="5"/>
      <c r="WZE127" s="5"/>
      <c r="WZF127" s="5"/>
      <c r="WZG127" s="5"/>
      <c r="WZH127" s="5"/>
      <c r="WZI127" s="5"/>
      <c r="WZJ127" s="5"/>
      <c r="WZK127" s="5"/>
      <c r="WZL127" s="5"/>
      <c r="WZM127" s="5"/>
      <c r="WZN127" s="5"/>
      <c r="WZO127" s="5"/>
      <c r="WZP127" s="5"/>
      <c r="WZQ127" s="5"/>
      <c r="WZR127" s="5"/>
      <c r="WZS127" s="5"/>
      <c r="WZT127" s="5"/>
      <c r="WZU127" s="5"/>
      <c r="WZV127" s="5"/>
      <c r="WZW127" s="5"/>
      <c r="WZX127" s="5"/>
      <c r="WZY127" s="5"/>
      <c r="WZZ127" s="5"/>
      <c r="XAA127" s="5"/>
      <c r="XAB127" s="5"/>
      <c r="XAC127" s="5"/>
      <c r="XAD127" s="5"/>
      <c r="XAE127" s="5"/>
      <c r="XAF127" s="5"/>
      <c r="XAG127" s="5"/>
      <c r="XAH127" s="5"/>
      <c r="XAI127" s="5"/>
      <c r="XAJ127" s="5"/>
      <c r="XAK127" s="5"/>
      <c r="XAL127" s="5"/>
      <c r="XAM127" s="5"/>
      <c r="XAN127" s="5"/>
      <c r="XAO127" s="5"/>
      <c r="XAP127" s="5"/>
      <c r="XAQ127" s="5"/>
      <c r="XAR127" s="5"/>
      <c r="XAS127" s="5"/>
      <c r="XAT127" s="5"/>
      <c r="XAU127" s="5"/>
      <c r="XAV127" s="5"/>
      <c r="XAW127" s="5"/>
      <c r="XAX127" s="5"/>
      <c r="XAY127" s="5"/>
      <c r="XAZ127" s="5"/>
      <c r="XBA127" s="5"/>
      <c r="XBB127" s="5"/>
      <c r="XBC127" s="5"/>
      <c r="XBD127" s="5"/>
      <c r="XBE127" s="5"/>
      <c r="XBF127" s="5"/>
      <c r="XBG127" s="5"/>
      <c r="XBH127" s="5"/>
      <c r="XBI127" s="5"/>
      <c r="XBJ127" s="5"/>
      <c r="XBK127" s="5"/>
      <c r="XBL127" s="5"/>
      <c r="XBM127" s="5"/>
      <c r="XBN127" s="5"/>
      <c r="XBO127" s="5"/>
      <c r="XBP127" s="5"/>
      <c r="XBQ127" s="5"/>
      <c r="XBR127" s="5"/>
      <c r="XBS127" s="5"/>
      <c r="XBT127" s="5"/>
      <c r="XBU127" s="5"/>
      <c r="XBV127" s="5"/>
      <c r="XBW127" s="5"/>
      <c r="XBX127" s="5"/>
      <c r="XBY127" s="5"/>
      <c r="XBZ127" s="5"/>
      <c r="XCA127" s="5"/>
      <c r="XCB127" s="5"/>
      <c r="XCC127" s="5"/>
      <c r="XCD127" s="5"/>
      <c r="XCE127" s="5"/>
      <c r="XCF127" s="5"/>
      <c r="XCG127" s="5"/>
      <c r="XCH127" s="5"/>
      <c r="XCI127" s="5"/>
      <c r="XCJ127" s="5"/>
      <c r="XCK127" s="5"/>
      <c r="XCL127" s="5"/>
      <c r="XCM127" s="5"/>
      <c r="XCN127" s="5"/>
      <c r="XCO127" s="5"/>
      <c r="XCP127" s="5"/>
      <c r="XCQ127" s="5"/>
      <c r="XCR127" s="5"/>
      <c r="XCS127" s="5"/>
      <c r="XCT127" s="5"/>
      <c r="XCU127" s="5"/>
      <c r="XCV127" s="5"/>
      <c r="XCW127" s="5"/>
      <c r="XCX127" s="5"/>
      <c r="XCY127" s="5"/>
      <c r="XCZ127" s="5"/>
      <c r="XDA127" s="5"/>
      <c r="XDB127" s="5"/>
      <c r="XDC127" s="5"/>
      <c r="XDD127" s="5"/>
      <c r="XDE127" s="5"/>
      <c r="XDF127" s="5"/>
      <c r="XDG127" s="5"/>
      <c r="XDH127" s="5"/>
      <c r="XDI127" s="5"/>
      <c r="XDJ127" s="5"/>
      <c r="XDK127" s="5"/>
      <c r="XDL127" s="5"/>
      <c r="XDM127" s="5"/>
      <c r="XDN127" s="5"/>
      <c r="XDO127" s="5"/>
      <c r="XDP127" s="5"/>
      <c r="XDQ127" s="5"/>
      <c r="XDR127" s="5"/>
      <c r="XDS127" s="5"/>
      <c r="XDT127" s="5"/>
      <c r="XDU127" s="5"/>
      <c r="XDV127" s="5"/>
      <c r="XDW127" s="5"/>
      <c r="XDX127" s="5"/>
      <c r="XDY127" s="5"/>
      <c r="XDZ127" s="5"/>
      <c r="XEA127" s="5"/>
      <c r="XEB127" s="5"/>
      <c r="XEC127" s="5"/>
      <c r="XED127" s="5"/>
      <c r="XEE127" s="5"/>
      <c r="XEF127" s="5"/>
      <c r="XEG127" s="5"/>
      <c r="XEH127" s="5"/>
      <c r="XEI127" s="5"/>
      <c r="XEJ127" s="5"/>
      <c r="XEK127" s="5"/>
      <c r="XEL127" s="5"/>
      <c r="XEM127" s="5"/>
      <c r="XEN127" s="5"/>
      <c r="XEO127" s="5"/>
      <c r="XEP127" s="5"/>
      <c r="XEQ127" s="5"/>
      <c r="XER127" s="5"/>
      <c r="XES127" s="5"/>
    </row>
    <row r="128" spans="1:16373" ht="101.25" x14ac:dyDescent="0.25">
      <c r="A128" s="5"/>
      <c r="B128" s="5">
        <v>126</v>
      </c>
      <c r="C128" s="5" t="s">
        <v>275</v>
      </c>
      <c r="D128" s="5" t="s">
        <v>276</v>
      </c>
      <c r="E128" s="40">
        <f>3904.35+713.58+148</f>
        <v>4765.93</v>
      </c>
      <c r="F128" s="6" t="s">
        <v>1902</v>
      </c>
      <c r="G128" s="5" t="s">
        <v>283</v>
      </c>
      <c r="H128" s="5" t="s">
        <v>80</v>
      </c>
      <c r="I128" s="5" t="s">
        <v>19</v>
      </c>
      <c r="J128" s="5">
        <v>79300000</v>
      </c>
      <c r="K128" s="13" t="s">
        <v>281</v>
      </c>
      <c r="L128" s="5" t="s">
        <v>353</v>
      </c>
    </row>
    <row r="129" spans="1:12" ht="45" x14ac:dyDescent="0.25">
      <c r="A129" s="5"/>
      <c r="B129" s="5">
        <v>127</v>
      </c>
      <c r="C129" s="5" t="s">
        <v>277</v>
      </c>
      <c r="D129" s="5" t="s">
        <v>190</v>
      </c>
      <c r="E129" s="40" t="s">
        <v>225</v>
      </c>
      <c r="F129" s="6">
        <v>70</v>
      </c>
      <c r="G129" s="5" t="s">
        <v>284</v>
      </c>
      <c r="H129" s="5" t="s">
        <v>80</v>
      </c>
      <c r="I129" s="5" t="s">
        <v>19</v>
      </c>
      <c r="J129" s="5">
        <v>15300000</v>
      </c>
      <c r="K129" s="13" t="s">
        <v>10</v>
      </c>
      <c r="L129" s="5" t="s">
        <v>356</v>
      </c>
    </row>
    <row r="130" spans="1:12" ht="45" x14ac:dyDescent="0.25">
      <c r="A130" s="5"/>
      <c r="B130" s="1">
        <v>128</v>
      </c>
      <c r="C130" s="5" t="s">
        <v>106</v>
      </c>
      <c r="D130" s="5" t="s">
        <v>107</v>
      </c>
      <c r="E130" s="40">
        <v>95.57</v>
      </c>
      <c r="F130" s="6">
        <v>95.57</v>
      </c>
      <c r="G130" s="5" t="s">
        <v>284</v>
      </c>
      <c r="H130" s="5" t="s">
        <v>80</v>
      </c>
      <c r="I130" s="5" t="s">
        <v>19</v>
      </c>
      <c r="J130" s="5">
        <v>15500000</v>
      </c>
      <c r="K130" s="13" t="s">
        <v>10</v>
      </c>
      <c r="L130" s="5" t="s">
        <v>354</v>
      </c>
    </row>
    <row r="131" spans="1:12" ht="45" x14ac:dyDescent="0.25">
      <c r="A131" s="5"/>
      <c r="B131" s="1">
        <v>129</v>
      </c>
      <c r="C131" s="5" t="s">
        <v>291</v>
      </c>
      <c r="D131" s="5" t="s">
        <v>292</v>
      </c>
      <c r="E131" s="38">
        <f>360*8</f>
        <v>2880</v>
      </c>
      <c r="F131" s="6">
        <v>3960</v>
      </c>
      <c r="G131" s="5" t="s">
        <v>325</v>
      </c>
      <c r="H131" s="5" t="s">
        <v>26</v>
      </c>
      <c r="I131" s="5" t="s">
        <v>19</v>
      </c>
      <c r="J131" s="5">
        <v>92400000</v>
      </c>
      <c r="K131" s="13" t="s">
        <v>10</v>
      </c>
      <c r="L131" s="5" t="s">
        <v>379</v>
      </c>
    </row>
    <row r="132" spans="1:12" ht="45" x14ac:dyDescent="0.25">
      <c r="A132" s="5"/>
      <c r="B132" s="5">
        <v>130</v>
      </c>
      <c r="C132" s="5" t="s">
        <v>293</v>
      </c>
      <c r="D132" s="5" t="s">
        <v>294</v>
      </c>
      <c r="E132" s="40">
        <v>4720</v>
      </c>
      <c r="F132" s="6">
        <v>4720</v>
      </c>
      <c r="G132" s="5" t="s">
        <v>325</v>
      </c>
      <c r="H132" s="5" t="s">
        <v>80</v>
      </c>
      <c r="I132" s="5" t="s">
        <v>19</v>
      </c>
      <c r="J132" s="5">
        <v>55300000</v>
      </c>
      <c r="K132" s="11" t="s">
        <v>12</v>
      </c>
      <c r="L132" s="5" t="s">
        <v>326</v>
      </c>
    </row>
    <row r="133" spans="1:12" ht="45" x14ac:dyDescent="0.25">
      <c r="A133" s="5"/>
      <c r="B133" s="5">
        <v>131</v>
      </c>
      <c r="C133" s="5" t="s">
        <v>295</v>
      </c>
      <c r="D133" s="5" t="s">
        <v>88</v>
      </c>
      <c r="E133" s="38">
        <f>442.8+134.1+598.5+105.3+146.25+818.1+52.2+441+152.1+917.1+100.8+92.7+58.5+46.8+106.2+400+119.7</f>
        <v>4732.1499999999996</v>
      </c>
      <c r="F133" s="6">
        <v>10000</v>
      </c>
      <c r="G133" s="5" t="s">
        <v>325</v>
      </c>
      <c r="H133" s="5" t="s">
        <v>26</v>
      </c>
      <c r="I133" s="5" t="s">
        <v>19</v>
      </c>
      <c r="J133" s="5">
        <v>55300000</v>
      </c>
      <c r="K133" s="11" t="s">
        <v>12</v>
      </c>
      <c r="L133" s="5" t="s">
        <v>327</v>
      </c>
    </row>
    <row r="134" spans="1:12" ht="45" x14ac:dyDescent="0.25">
      <c r="A134" s="5"/>
      <c r="B134" s="1">
        <v>132</v>
      </c>
      <c r="C134" s="15" t="s">
        <v>296</v>
      </c>
      <c r="D134" s="5" t="s">
        <v>88</v>
      </c>
      <c r="E134" s="41"/>
      <c r="F134" s="6">
        <v>2000</v>
      </c>
      <c r="G134" s="5" t="s">
        <v>325</v>
      </c>
      <c r="H134" s="5" t="s">
        <v>26</v>
      </c>
      <c r="I134" s="5" t="s">
        <v>19</v>
      </c>
      <c r="J134" s="5">
        <v>55300000</v>
      </c>
      <c r="K134" s="11" t="s">
        <v>12</v>
      </c>
      <c r="L134" s="5" t="s">
        <v>328</v>
      </c>
    </row>
    <row r="135" spans="1:12" ht="45" x14ac:dyDescent="0.25">
      <c r="A135" s="5"/>
      <c r="B135" s="1">
        <v>133</v>
      </c>
      <c r="C135" s="5" t="s">
        <v>297</v>
      </c>
      <c r="D135" s="5" t="s">
        <v>88</v>
      </c>
      <c r="E135" s="40">
        <f>482.25+138.85+172.5+151.8</f>
        <v>945.40000000000009</v>
      </c>
      <c r="F135" s="6">
        <v>10000</v>
      </c>
      <c r="G135" s="5" t="s">
        <v>325</v>
      </c>
      <c r="H135" s="5" t="s">
        <v>26</v>
      </c>
      <c r="I135" s="5" t="s">
        <v>19</v>
      </c>
      <c r="J135" s="5">
        <v>55300000</v>
      </c>
      <c r="K135" s="11" t="s">
        <v>12</v>
      </c>
      <c r="L135" s="5" t="s">
        <v>329</v>
      </c>
    </row>
    <row r="136" spans="1:12" ht="45" x14ac:dyDescent="0.25">
      <c r="A136" s="5"/>
      <c r="B136" s="5">
        <v>134</v>
      </c>
      <c r="C136" s="5" t="s">
        <v>298</v>
      </c>
      <c r="D136" s="5" t="s">
        <v>88</v>
      </c>
      <c r="E136" s="40">
        <f>33.12+149.04+49.68+79.2+31.56+96.25+99.36+134.55+48.64+147.29</f>
        <v>868.68999999999994</v>
      </c>
      <c r="F136" s="6">
        <v>10000</v>
      </c>
      <c r="G136" s="5" t="s">
        <v>325</v>
      </c>
      <c r="H136" s="5" t="s">
        <v>26</v>
      </c>
      <c r="I136" s="5" t="s">
        <v>19</v>
      </c>
      <c r="J136" s="5">
        <v>55300000</v>
      </c>
      <c r="K136" s="11" t="s">
        <v>12</v>
      </c>
      <c r="L136" s="5" t="s">
        <v>330</v>
      </c>
    </row>
    <row r="137" spans="1:12" ht="45" x14ac:dyDescent="0.25">
      <c r="A137" s="5"/>
      <c r="B137" s="5">
        <v>135</v>
      </c>
      <c r="C137" s="5" t="s">
        <v>299</v>
      </c>
      <c r="D137" s="5" t="s">
        <v>88</v>
      </c>
      <c r="E137" s="40">
        <v>442.8</v>
      </c>
      <c r="F137" s="6">
        <v>5000</v>
      </c>
      <c r="G137" s="5" t="s">
        <v>325</v>
      </c>
      <c r="H137" s="5" t="s">
        <v>26</v>
      </c>
      <c r="I137" s="5" t="s">
        <v>19</v>
      </c>
      <c r="J137" s="5">
        <v>55300000</v>
      </c>
      <c r="K137" s="11" t="s">
        <v>12</v>
      </c>
      <c r="L137" s="30" t="s">
        <v>376</v>
      </c>
    </row>
    <row r="138" spans="1:12" ht="45" x14ac:dyDescent="0.25">
      <c r="A138" s="5"/>
      <c r="B138" s="1">
        <v>136</v>
      </c>
      <c r="C138" s="5" t="s">
        <v>300</v>
      </c>
      <c r="D138" s="5" t="s">
        <v>88</v>
      </c>
      <c r="E138" s="42">
        <f>73.59+339.24+91.96</f>
        <v>504.79</v>
      </c>
      <c r="F138" s="6">
        <v>5000</v>
      </c>
      <c r="G138" s="5" t="s">
        <v>325</v>
      </c>
      <c r="H138" s="5" t="s">
        <v>26</v>
      </c>
      <c r="I138" s="5" t="s">
        <v>19</v>
      </c>
      <c r="J138" s="5">
        <v>55300000</v>
      </c>
      <c r="K138" s="11" t="s">
        <v>12</v>
      </c>
      <c r="L138" s="5" t="s">
        <v>331</v>
      </c>
    </row>
    <row r="139" spans="1:12" ht="45" x14ac:dyDescent="0.25">
      <c r="A139" s="5"/>
      <c r="B139" s="1">
        <v>137</v>
      </c>
      <c r="C139" s="5" t="s">
        <v>301</v>
      </c>
      <c r="D139" s="5" t="s">
        <v>88</v>
      </c>
      <c r="E139" s="40">
        <f>150.08+500.34+174.24+59.89+99+369.96+187.4+116.32</f>
        <v>1657.23</v>
      </c>
      <c r="F139" s="6">
        <v>2000</v>
      </c>
      <c r="G139" s="5" t="s">
        <v>325</v>
      </c>
      <c r="H139" s="5" t="s">
        <v>26</v>
      </c>
      <c r="I139" s="5" t="s">
        <v>19</v>
      </c>
      <c r="J139" s="5">
        <v>55300000</v>
      </c>
      <c r="K139" s="11" t="s">
        <v>12</v>
      </c>
      <c r="L139" s="5" t="s">
        <v>332</v>
      </c>
    </row>
    <row r="140" spans="1:12" ht="45" x14ac:dyDescent="0.25">
      <c r="A140" s="5"/>
      <c r="B140" s="5">
        <v>138</v>
      </c>
      <c r="C140" s="5" t="s">
        <v>302</v>
      </c>
      <c r="D140" s="5" t="s">
        <v>88</v>
      </c>
      <c r="E140" s="38">
        <f>450 +450+450+85+350+100</f>
        <v>1885</v>
      </c>
      <c r="F140" s="6">
        <v>2000</v>
      </c>
      <c r="G140" s="5" t="s">
        <v>325</v>
      </c>
      <c r="H140" s="5" t="s">
        <v>26</v>
      </c>
      <c r="I140" s="5" t="s">
        <v>19</v>
      </c>
      <c r="J140" s="5">
        <v>55300000</v>
      </c>
      <c r="K140" s="11" t="s">
        <v>12</v>
      </c>
      <c r="L140" s="5" t="s">
        <v>333</v>
      </c>
    </row>
    <row r="141" spans="1:12" ht="45" x14ac:dyDescent="0.25">
      <c r="A141" s="5"/>
      <c r="B141" s="5">
        <v>139</v>
      </c>
      <c r="C141" s="5" t="s">
        <v>303</v>
      </c>
      <c r="D141" s="5" t="s">
        <v>88</v>
      </c>
      <c r="E141" s="42"/>
      <c r="F141" s="6">
        <v>2000</v>
      </c>
      <c r="G141" s="5" t="s">
        <v>325</v>
      </c>
      <c r="H141" s="5" t="s">
        <v>26</v>
      </c>
      <c r="I141" s="5" t="s">
        <v>19</v>
      </c>
      <c r="J141" s="5">
        <v>55300000</v>
      </c>
      <c r="K141" s="11" t="s">
        <v>12</v>
      </c>
      <c r="L141" s="30" t="s">
        <v>364</v>
      </c>
    </row>
    <row r="142" spans="1:12" ht="101.25" x14ac:dyDescent="0.25">
      <c r="A142" s="5"/>
      <c r="B142" s="1">
        <v>140</v>
      </c>
      <c r="C142" s="5" t="s">
        <v>304</v>
      </c>
      <c r="D142" s="5" t="s">
        <v>305</v>
      </c>
      <c r="E142" s="40" t="s">
        <v>426</v>
      </c>
      <c r="F142" s="6">
        <v>25517.5</v>
      </c>
      <c r="G142" s="5" t="s">
        <v>334</v>
      </c>
      <c r="H142" s="5" t="s">
        <v>80</v>
      </c>
      <c r="I142" s="5" t="s">
        <v>19</v>
      </c>
      <c r="J142" s="5">
        <v>39100000</v>
      </c>
      <c r="K142" s="13" t="s">
        <v>281</v>
      </c>
      <c r="L142" s="5" t="s">
        <v>335</v>
      </c>
    </row>
    <row r="143" spans="1:12" ht="101.25" x14ac:dyDescent="0.25">
      <c r="A143" s="5"/>
      <c r="B143" s="1">
        <v>141</v>
      </c>
      <c r="C143" s="5" t="s">
        <v>306</v>
      </c>
      <c r="D143" s="5" t="s">
        <v>100</v>
      </c>
      <c r="E143" s="40">
        <f>450*8</f>
        <v>3600</v>
      </c>
      <c r="F143" s="6">
        <v>4950</v>
      </c>
      <c r="G143" s="5" t="s">
        <v>334</v>
      </c>
      <c r="H143" s="5" t="s">
        <v>26</v>
      </c>
      <c r="I143" s="5" t="s">
        <v>19</v>
      </c>
      <c r="J143" s="5">
        <v>79300000</v>
      </c>
      <c r="K143" s="13" t="s">
        <v>281</v>
      </c>
      <c r="L143" s="5" t="s">
        <v>365</v>
      </c>
    </row>
    <row r="144" spans="1:12" ht="101.25" x14ac:dyDescent="0.25">
      <c r="A144" s="5"/>
      <c r="B144" s="5">
        <v>142</v>
      </c>
      <c r="C144" s="5" t="s">
        <v>307</v>
      </c>
      <c r="D144" s="5" t="s">
        <v>100</v>
      </c>
      <c r="E144" s="40" t="s">
        <v>438</v>
      </c>
      <c r="F144" s="6">
        <v>1500</v>
      </c>
      <c r="G144" s="5" t="s">
        <v>334</v>
      </c>
      <c r="H144" s="5" t="s">
        <v>26</v>
      </c>
      <c r="I144" s="5" t="s">
        <v>19</v>
      </c>
      <c r="J144" s="5">
        <v>79300000</v>
      </c>
      <c r="K144" s="13" t="s">
        <v>281</v>
      </c>
      <c r="L144" s="5" t="s">
        <v>366</v>
      </c>
    </row>
    <row r="145" spans="1:12" ht="101.25" x14ac:dyDescent="0.25">
      <c r="A145" s="5"/>
      <c r="B145" s="5">
        <v>143</v>
      </c>
      <c r="C145" s="5" t="s">
        <v>308</v>
      </c>
      <c r="D145" s="5" t="s">
        <v>309</v>
      </c>
      <c r="E145" s="40">
        <f>8*578</f>
        <v>4624</v>
      </c>
      <c r="F145" s="6">
        <v>6936</v>
      </c>
      <c r="G145" s="5" t="s">
        <v>334</v>
      </c>
      <c r="H145" s="5" t="s">
        <v>26</v>
      </c>
      <c r="I145" s="5" t="s">
        <v>19</v>
      </c>
      <c r="J145" s="5">
        <v>79300000</v>
      </c>
      <c r="K145" s="13" t="s">
        <v>281</v>
      </c>
      <c r="L145" s="5" t="s">
        <v>367</v>
      </c>
    </row>
    <row r="146" spans="1:12" ht="101.25" x14ac:dyDescent="0.25">
      <c r="A146" s="5"/>
      <c r="B146" s="1">
        <v>144</v>
      </c>
      <c r="C146" s="5" t="s">
        <v>310</v>
      </c>
      <c r="D146" s="5" t="s">
        <v>309</v>
      </c>
      <c r="E146" s="40">
        <f>8*354</f>
        <v>2832</v>
      </c>
      <c r="F146" s="6">
        <v>3894</v>
      </c>
      <c r="G146" s="5" t="s">
        <v>334</v>
      </c>
      <c r="H146" s="5" t="s">
        <v>26</v>
      </c>
      <c r="I146" s="5" t="s">
        <v>19</v>
      </c>
      <c r="J146" s="5">
        <v>79300000</v>
      </c>
      <c r="K146" s="13" t="s">
        <v>281</v>
      </c>
      <c r="L146" s="5" t="s">
        <v>368</v>
      </c>
    </row>
    <row r="147" spans="1:12" ht="45" x14ac:dyDescent="0.25">
      <c r="A147" s="5"/>
      <c r="B147" s="1" t="s">
        <v>311</v>
      </c>
      <c r="C147" s="5" t="s">
        <v>312</v>
      </c>
      <c r="D147" s="5" t="s">
        <v>313</v>
      </c>
      <c r="E147" s="42"/>
      <c r="F147" s="6">
        <v>2500</v>
      </c>
      <c r="G147" s="5" t="s">
        <v>334</v>
      </c>
      <c r="H147" s="5" t="s">
        <v>336</v>
      </c>
      <c r="I147" s="5" t="s">
        <v>8</v>
      </c>
      <c r="J147" s="5">
        <v>64200000</v>
      </c>
      <c r="K147" s="5" t="s">
        <v>337</v>
      </c>
      <c r="L147" s="5" t="s">
        <v>337</v>
      </c>
    </row>
    <row r="148" spans="1:12" ht="90" x14ac:dyDescent="0.25">
      <c r="A148" s="5"/>
      <c r="B148" s="5">
        <v>145</v>
      </c>
      <c r="C148" s="5" t="s">
        <v>36</v>
      </c>
      <c r="D148" s="5" t="s">
        <v>38</v>
      </c>
      <c r="E148" s="40">
        <v>30</v>
      </c>
      <c r="F148" s="6">
        <v>30</v>
      </c>
      <c r="G148" s="5" t="s">
        <v>338</v>
      </c>
      <c r="H148" s="5" t="s">
        <v>339</v>
      </c>
      <c r="I148" s="5" t="s">
        <v>19</v>
      </c>
      <c r="J148" s="5">
        <v>72400000</v>
      </c>
      <c r="K148" s="13" t="s">
        <v>27</v>
      </c>
      <c r="L148" s="5" t="s">
        <v>373</v>
      </c>
    </row>
    <row r="149" spans="1:12" ht="45" x14ac:dyDescent="0.25">
      <c r="A149" s="5"/>
      <c r="B149" s="5">
        <v>146</v>
      </c>
      <c r="C149" s="5" t="s">
        <v>314</v>
      </c>
      <c r="D149" s="5" t="s">
        <v>86</v>
      </c>
      <c r="E149" s="40">
        <v>1700</v>
      </c>
      <c r="F149" s="6">
        <v>1700</v>
      </c>
      <c r="G149" s="5" t="s">
        <v>340</v>
      </c>
      <c r="H149" s="5" t="s">
        <v>80</v>
      </c>
      <c r="I149" s="5" t="s">
        <v>19</v>
      </c>
      <c r="J149" s="5">
        <v>60100000</v>
      </c>
      <c r="K149" s="11" t="s">
        <v>3</v>
      </c>
      <c r="L149" s="5" t="s">
        <v>369</v>
      </c>
    </row>
    <row r="150" spans="1:12" ht="45" x14ac:dyDescent="0.25">
      <c r="A150" s="5"/>
      <c r="B150" s="1">
        <v>147</v>
      </c>
      <c r="C150" s="5" t="s">
        <v>314</v>
      </c>
      <c r="D150" s="5" t="s">
        <v>82</v>
      </c>
      <c r="E150" s="40">
        <v>600</v>
      </c>
      <c r="F150" s="6">
        <v>600</v>
      </c>
      <c r="G150" s="5" t="s">
        <v>340</v>
      </c>
      <c r="H150" s="5" t="s">
        <v>80</v>
      </c>
      <c r="I150" s="5" t="s">
        <v>19</v>
      </c>
      <c r="J150" s="5">
        <v>63500000</v>
      </c>
      <c r="K150" s="11" t="s">
        <v>3</v>
      </c>
      <c r="L150" s="5" t="s">
        <v>374</v>
      </c>
    </row>
    <row r="151" spans="1:12" ht="45.75" x14ac:dyDescent="0.25">
      <c r="A151" s="5"/>
      <c r="B151" s="1">
        <v>148</v>
      </c>
      <c r="C151" s="5" t="s">
        <v>315</v>
      </c>
      <c r="D151" s="5" t="s">
        <v>316</v>
      </c>
      <c r="E151" s="40">
        <f>10+110+15+5+5</f>
        <v>145</v>
      </c>
      <c r="F151" s="6">
        <v>250</v>
      </c>
      <c r="G151" s="5" t="s">
        <v>340</v>
      </c>
      <c r="H151" s="5" t="s">
        <v>26</v>
      </c>
      <c r="I151" s="5" t="s">
        <v>19</v>
      </c>
      <c r="J151" s="5">
        <v>66100000</v>
      </c>
      <c r="K151" s="11" t="s">
        <v>7</v>
      </c>
      <c r="L151" s="5" t="s">
        <v>375</v>
      </c>
    </row>
    <row r="152" spans="1:12" ht="45" x14ac:dyDescent="0.2">
      <c r="A152" s="5"/>
      <c r="B152" s="5">
        <v>149</v>
      </c>
      <c r="C152" s="5" t="s">
        <v>317</v>
      </c>
      <c r="D152" s="5" t="s">
        <v>84</v>
      </c>
      <c r="E152" s="40">
        <f>2397.45+1735.44+652.65</f>
        <v>4785.5399999999991</v>
      </c>
      <c r="F152" s="6">
        <v>50000</v>
      </c>
      <c r="G152" s="5" t="s">
        <v>340</v>
      </c>
      <c r="H152" s="5" t="s">
        <v>26</v>
      </c>
      <c r="I152" s="5" t="s">
        <v>19</v>
      </c>
      <c r="J152" s="5">
        <v>55100000</v>
      </c>
      <c r="K152" s="11" t="s">
        <v>3</v>
      </c>
      <c r="L152" s="31" t="s">
        <v>370</v>
      </c>
    </row>
    <row r="153" spans="1:12" ht="45" x14ac:dyDescent="0.25">
      <c r="A153" s="5"/>
      <c r="B153" s="5">
        <v>150</v>
      </c>
      <c r="C153" s="5" t="s">
        <v>318</v>
      </c>
      <c r="D153" s="5" t="s">
        <v>84</v>
      </c>
      <c r="E153" s="40">
        <f>9211.52 +1162.69+958.62+7308.69+3293.28</f>
        <v>21934.799999999999</v>
      </c>
      <c r="F153" s="6">
        <v>100000</v>
      </c>
      <c r="G153" s="5" t="s">
        <v>340</v>
      </c>
      <c r="H153" s="5" t="s">
        <v>26</v>
      </c>
      <c r="I153" s="5" t="s">
        <v>19</v>
      </c>
      <c r="J153" s="5">
        <v>55100000</v>
      </c>
      <c r="K153" s="11" t="s">
        <v>3</v>
      </c>
      <c r="L153" s="5" t="s">
        <v>371</v>
      </c>
    </row>
    <row r="154" spans="1:12" s="18" customFormat="1" ht="101.25" x14ac:dyDescent="0.25">
      <c r="A154" s="5"/>
      <c r="B154" s="1">
        <v>151</v>
      </c>
      <c r="C154" s="5" t="s">
        <v>319</v>
      </c>
      <c r="D154" s="5" t="s">
        <v>100</v>
      </c>
      <c r="E154" s="40">
        <f>25475.22+4682.99+23844.14+4241.2</f>
        <v>58243.549999999996</v>
      </c>
      <c r="F154" s="6">
        <v>64610.84</v>
      </c>
      <c r="G154" s="5" t="s">
        <v>340</v>
      </c>
      <c r="H154" s="5" t="s">
        <v>80</v>
      </c>
      <c r="I154" s="5" t="s">
        <v>19</v>
      </c>
      <c r="J154" s="5">
        <v>79300000</v>
      </c>
      <c r="K154" s="13" t="s">
        <v>281</v>
      </c>
      <c r="L154" s="5" t="s">
        <v>341</v>
      </c>
    </row>
    <row r="155" spans="1:12" ht="101.25" x14ac:dyDescent="0.25">
      <c r="A155" s="5"/>
      <c r="B155" s="1">
        <v>152</v>
      </c>
      <c r="C155" s="5" t="s">
        <v>320</v>
      </c>
      <c r="D155" s="5" t="s">
        <v>321</v>
      </c>
      <c r="E155" s="40" t="s">
        <v>439</v>
      </c>
      <c r="F155" s="6">
        <v>450</v>
      </c>
      <c r="G155" s="5" t="s">
        <v>340</v>
      </c>
      <c r="H155" s="5" t="s">
        <v>80</v>
      </c>
      <c r="I155" s="5" t="s">
        <v>19</v>
      </c>
      <c r="J155" s="5">
        <v>79500000</v>
      </c>
      <c r="K155" s="13" t="s">
        <v>281</v>
      </c>
      <c r="L155" s="5" t="s">
        <v>342</v>
      </c>
    </row>
    <row r="156" spans="1:12" ht="101.25" x14ac:dyDescent="0.25">
      <c r="A156" s="5"/>
      <c r="B156" s="5">
        <v>153</v>
      </c>
      <c r="C156" s="5" t="s">
        <v>322</v>
      </c>
      <c r="D156" s="5" t="s">
        <v>323</v>
      </c>
      <c r="E156" s="40">
        <f>2*66266.75+12013.65+11958.21+65843.25+66104.5+11792.88+11851.79+67130.25+12262.64+66995.5+12085.92</f>
        <v>470572.08999999997</v>
      </c>
      <c r="F156" s="6">
        <v>535425</v>
      </c>
      <c r="G156" s="5" t="s">
        <v>340</v>
      </c>
      <c r="H156" s="5" t="s">
        <v>80</v>
      </c>
      <c r="I156" s="5" t="s">
        <v>19</v>
      </c>
      <c r="J156" s="5">
        <v>79300000</v>
      </c>
      <c r="K156" s="13" t="s">
        <v>281</v>
      </c>
      <c r="L156" s="5" t="s">
        <v>378</v>
      </c>
    </row>
    <row r="157" spans="1:12" ht="101.25" x14ac:dyDescent="0.25">
      <c r="A157" s="5"/>
      <c r="B157" s="5">
        <v>154</v>
      </c>
      <c r="C157" s="5" t="s">
        <v>322</v>
      </c>
      <c r="D157" s="5" t="s">
        <v>324</v>
      </c>
      <c r="E157" s="40">
        <f>190931.97+34611.99+191241.44+34400.61</f>
        <v>451186.01</v>
      </c>
      <c r="F157" s="6">
        <v>514981</v>
      </c>
      <c r="G157" s="5" t="s">
        <v>340</v>
      </c>
      <c r="H157" s="5" t="s">
        <v>80</v>
      </c>
      <c r="I157" s="5" t="s">
        <v>19</v>
      </c>
      <c r="J157" s="5">
        <v>79300000</v>
      </c>
      <c r="K157" s="13" t="s">
        <v>281</v>
      </c>
      <c r="L157" s="5" t="s">
        <v>377</v>
      </c>
    </row>
    <row r="158" spans="1:12" ht="45" x14ac:dyDescent="0.25">
      <c r="A158" s="5"/>
      <c r="B158" s="1">
        <v>155</v>
      </c>
      <c r="C158" s="5" t="s">
        <v>380</v>
      </c>
      <c r="D158" s="5" t="s">
        <v>88</v>
      </c>
      <c r="E158" s="42"/>
      <c r="F158" s="6">
        <v>2000</v>
      </c>
      <c r="G158" s="5" t="s">
        <v>381</v>
      </c>
      <c r="H158" s="5" t="s">
        <v>26</v>
      </c>
      <c r="I158" s="5" t="s">
        <v>19</v>
      </c>
      <c r="J158" s="5">
        <v>55300000</v>
      </c>
      <c r="K158" s="11" t="s">
        <v>3</v>
      </c>
      <c r="L158" s="5" t="s">
        <v>372</v>
      </c>
    </row>
    <row r="159" spans="1:12" ht="45" x14ac:dyDescent="0.25">
      <c r="A159" s="5"/>
      <c r="B159" s="1">
        <v>156</v>
      </c>
      <c r="C159" s="5" t="s">
        <v>391</v>
      </c>
      <c r="D159" s="5" t="s">
        <v>88</v>
      </c>
      <c r="E159" s="40">
        <v>304.92</v>
      </c>
      <c r="F159" s="6">
        <v>3000</v>
      </c>
      <c r="G159" s="5" t="s">
        <v>381</v>
      </c>
      <c r="H159" s="5" t="s">
        <v>26</v>
      </c>
      <c r="I159" s="5" t="s">
        <v>19</v>
      </c>
      <c r="J159" s="5">
        <v>55300000</v>
      </c>
      <c r="K159" s="11" t="s">
        <v>3</v>
      </c>
      <c r="L159" s="5" t="s">
        <v>442</v>
      </c>
    </row>
    <row r="160" spans="1:12" s="29" customFormat="1" x14ac:dyDescent="0.25">
      <c r="E160" s="43"/>
      <c r="F160" s="32"/>
      <c r="K160" s="33"/>
    </row>
    <row r="161" spans="1:12" ht="101.25" x14ac:dyDescent="0.25">
      <c r="A161" s="5"/>
      <c r="B161" s="5">
        <v>158</v>
      </c>
      <c r="C161" s="5" t="s">
        <v>262</v>
      </c>
      <c r="D161" s="5" t="s">
        <v>392</v>
      </c>
      <c r="E161" s="40">
        <f>26795 +1920</f>
        <v>28715</v>
      </c>
      <c r="F161" s="34">
        <v>28715</v>
      </c>
      <c r="G161" s="5" t="s">
        <v>410</v>
      </c>
      <c r="H161" s="5" t="s">
        <v>80</v>
      </c>
      <c r="I161" s="5" t="s">
        <v>19</v>
      </c>
      <c r="J161" s="5">
        <v>79800000</v>
      </c>
      <c r="K161" s="13" t="s">
        <v>281</v>
      </c>
      <c r="L161" s="5" t="s">
        <v>411</v>
      </c>
    </row>
    <row r="162" spans="1:12" ht="45" x14ac:dyDescent="0.2">
      <c r="A162" s="5"/>
      <c r="B162" s="1">
        <v>159</v>
      </c>
      <c r="C162" s="5" t="s">
        <v>393</v>
      </c>
      <c r="D162" s="5" t="s">
        <v>394</v>
      </c>
      <c r="E162" s="40" t="s">
        <v>430</v>
      </c>
      <c r="F162" s="6">
        <v>1840</v>
      </c>
      <c r="G162" s="5" t="s">
        <v>410</v>
      </c>
      <c r="H162" s="5" t="s">
        <v>80</v>
      </c>
      <c r="I162" s="5" t="s">
        <v>19</v>
      </c>
      <c r="J162" s="5">
        <v>22300000</v>
      </c>
      <c r="K162" s="13" t="s">
        <v>10</v>
      </c>
      <c r="L162" s="35" t="s">
        <v>427</v>
      </c>
    </row>
    <row r="163" spans="1:12" ht="45" x14ac:dyDescent="0.25">
      <c r="A163" s="5"/>
      <c r="B163" s="1">
        <v>160</v>
      </c>
      <c r="C163" s="5" t="s">
        <v>395</v>
      </c>
      <c r="D163" s="5" t="s">
        <v>86</v>
      </c>
      <c r="E163" s="40" t="s">
        <v>440</v>
      </c>
      <c r="F163" s="6">
        <v>2150</v>
      </c>
      <c r="G163" s="5" t="s">
        <v>412</v>
      </c>
      <c r="H163" s="5" t="s">
        <v>80</v>
      </c>
      <c r="I163" s="5" t="s">
        <v>19</v>
      </c>
      <c r="J163" s="5">
        <v>60100000</v>
      </c>
      <c r="K163" s="20" t="s">
        <v>3</v>
      </c>
      <c r="L163" s="5" t="s">
        <v>413</v>
      </c>
    </row>
    <row r="164" spans="1:12" ht="45" x14ac:dyDescent="0.25">
      <c r="A164" s="5"/>
      <c r="B164" s="5">
        <v>161</v>
      </c>
      <c r="C164" s="5" t="s">
        <v>396</v>
      </c>
      <c r="D164" s="5" t="s">
        <v>82</v>
      </c>
      <c r="E164" s="40" t="s">
        <v>429</v>
      </c>
      <c r="F164" s="6">
        <v>1377.5</v>
      </c>
      <c r="G164" s="5" t="s">
        <v>412</v>
      </c>
      <c r="H164" s="5" t="s">
        <v>80</v>
      </c>
      <c r="I164" s="5" t="s">
        <v>19</v>
      </c>
      <c r="J164" s="5">
        <v>63500000</v>
      </c>
      <c r="K164" s="20" t="s">
        <v>3</v>
      </c>
      <c r="L164" s="5" t="s">
        <v>414</v>
      </c>
    </row>
    <row r="165" spans="1:12" ht="45" x14ac:dyDescent="0.25">
      <c r="A165" s="5"/>
      <c r="B165" s="5">
        <v>162</v>
      </c>
      <c r="C165" s="5" t="s">
        <v>397</v>
      </c>
      <c r="D165" s="5" t="s">
        <v>294</v>
      </c>
      <c r="E165" s="40">
        <v>420</v>
      </c>
      <c r="F165" s="6">
        <v>420</v>
      </c>
      <c r="G165" s="5" t="s">
        <v>415</v>
      </c>
      <c r="H165" s="5" t="s">
        <v>80</v>
      </c>
      <c r="I165" s="5" t="s">
        <v>19</v>
      </c>
      <c r="J165" s="5">
        <v>55300000</v>
      </c>
      <c r="K165" s="20" t="s">
        <v>3</v>
      </c>
      <c r="L165" s="5" t="s">
        <v>416</v>
      </c>
    </row>
    <row r="166" spans="1:12" ht="45" x14ac:dyDescent="0.25">
      <c r="A166" s="5"/>
      <c r="B166" s="1">
        <v>163</v>
      </c>
      <c r="C166" s="5" t="s">
        <v>398</v>
      </c>
      <c r="D166" s="5" t="s">
        <v>399</v>
      </c>
      <c r="E166" s="40" t="s">
        <v>425</v>
      </c>
      <c r="F166" s="6">
        <v>1250</v>
      </c>
      <c r="G166" s="5" t="s">
        <v>417</v>
      </c>
      <c r="H166" s="5" t="s">
        <v>80</v>
      </c>
      <c r="I166" s="5" t="s">
        <v>19</v>
      </c>
      <c r="J166" s="5">
        <v>32500000</v>
      </c>
      <c r="K166" s="5" t="s">
        <v>10</v>
      </c>
      <c r="L166" s="5" t="s">
        <v>418</v>
      </c>
    </row>
    <row r="167" spans="1:12" ht="22.5" x14ac:dyDescent="0.25">
      <c r="A167" s="5"/>
      <c r="B167" s="1">
        <v>164</v>
      </c>
      <c r="C167" s="5" t="s">
        <v>400</v>
      </c>
      <c r="D167" s="5" t="s">
        <v>401</v>
      </c>
      <c r="E167" s="42">
        <f>258.6+28+230.6+252</f>
        <v>769.2</v>
      </c>
      <c r="F167" s="6">
        <v>1289</v>
      </c>
      <c r="G167" s="5" t="s">
        <v>417</v>
      </c>
      <c r="H167" s="5" t="s">
        <v>26</v>
      </c>
      <c r="I167" s="5" t="s">
        <v>9</v>
      </c>
      <c r="J167" s="5">
        <v>30100000</v>
      </c>
      <c r="K167" s="5" t="s">
        <v>419</v>
      </c>
      <c r="L167" s="5"/>
    </row>
    <row r="168" spans="1:12" ht="22.5" x14ac:dyDescent="0.25">
      <c r="A168" s="5"/>
      <c r="B168" s="5">
        <v>165</v>
      </c>
      <c r="C168" s="5" t="s">
        <v>260</v>
      </c>
      <c r="D168" s="5" t="s">
        <v>402</v>
      </c>
      <c r="E168" s="42">
        <f>380+300+1030+250+720+350+530</f>
        <v>3560</v>
      </c>
      <c r="F168" s="6">
        <v>10960</v>
      </c>
      <c r="G168" s="5" t="s">
        <v>417</v>
      </c>
      <c r="H168" s="5" t="s">
        <v>26</v>
      </c>
      <c r="I168" s="5" t="s">
        <v>9</v>
      </c>
      <c r="J168" s="5">
        <v>63100000</v>
      </c>
      <c r="K168" s="5" t="s">
        <v>420</v>
      </c>
      <c r="L168" s="5"/>
    </row>
    <row r="169" spans="1:12" ht="45" x14ac:dyDescent="0.25">
      <c r="A169" s="5"/>
      <c r="B169" s="5">
        <v>166</v>
      </c>
      <c r="C169" s="5" t="s">
        <v>102</v>
      </c>
      <c r="D169" s="5" t="s">
        <v>103</v>
      </c>
      <c r="E169" s="40" t="s">
        <v>428</v>
      </c>
      <c r="F169" s="6">
        <v>6480</v>
      </c>
      <c r="G169" s="5" t="s">
        <v>421</v>
      </c>
      <c r="H169" s="5" t="s">
        <v>80</v>
      </c>
      <c r="I169" s="5" t="s">
        <v>19</v>
      </c>
      <c r="J169" s="5">
        <v>60400000</v>
      </c>
      <c r="K169" s="5" t="s">
        <v>3</v>
      </c>
      <c r="L169" s="5" t="s">
        <v>422</v>
      </c>
    </row>
    <row r="170" spans="1:12" ht="45" x14ac:dyDescent="0.2">
      <c r="A170" s="5"/>
      <c r="B170" s="1">
        <v>167</v>
      </c>
      <c r="C170" s="5" t="s">
        <v>272</v>
      </c>
      <c r="D170" s="5" t="s">
        <v>82</v>
      </c>
      <c r="E170" s="40">
        <v>650</v>
      </c>
      <c r="F170" s="6">
        <v>650</v>
      </c>
      <c r="G170" s="5" t="s">
        <v>423</v>
      </c>
      <c r="H170" s="5" t="s">
        <v>80</v>
      </c>
      <c r="I170" s="5" t="s">
        <v>19</v>
      </c>
      <c r="J170" s="5">
        <v>63500000</v>
      </c>
      <c r="K170" s="5" t="s">
        <v>3</v>
      </c>
      <c r="L170" s="31" t="s">
        <v>431</v>
      </c>
    </row>
    <row r="171" spans="1:12" ht="45" x14ac:dyDescent="0.15">
      <c r="A171" s="5"/>
      <c r="B171" s="1">
        <v>168</v>
      </c>
      <c r="C171" s="5" t="s">
        <v>166</v>
      </c>
      <c r="D171" s="5" t="s">
        <v>86</v>
      </c>
      <c r="E171" s="40" t="s">
        <v>436</v>
      </c>
      <c r="F171" s="6">
        <v>1300</v>
      </c>
      <c r="G171" s="5" t="s">
        <v>423</v>
      </c>
      <c r="H171" s="5" t="s">
        <v>80</v>
      </c>
      <c r="I171" s="5" t="s">
        <v>19</v>
      </c>
      <c r="J171" s="5">
        <v>60100000</v>
      </c>
      <c r="K171" s="5" t="s">
        <v>3</v>
      </c>
      <c r="L171" s="36" t="s">
        <v>435</v>
      </c>
    </row>
    <row r="172" spans="1:12" ht="45" x14ac:dyDescent="0.25">
      <c r="A172" s="5"/>
      <c r="B172" s="5">
        <v>169</v>
      </c>
      <c r="C172" s="5" t="s">
        <v>403</v>
      </c>
      <c r="D172" s="5" t="s">
        <v>84</v>
      </c>
      <c r="E172" s="40" t="s">
        <v>497</v>
      </c>
      <c r="F172" s="6">
        <v>2246</v>
      </c>
      <c r="G172" s="5" t="s">
        <v>423</v>
      </c>
      <c r="H172" s="5" t="s">
        <v>80</v>
      </c>
      <c r="I172" s="5" t="s">
        <v>19</v>
      </c>
      <c r="J172" s="5">
        <v>55100000</v>
      </c>
      <c r="K172" s="5" t="s">
        <v>3</v>
      </c>
      <c r="L172" s="5" t="s">
        <v>443</v>
      </c>
    </row>
    <row r="173" spans="1:12" ht="45" x14ac:dyDescent="0.25">
      <c r="A173" s="5"/>
      <c r="B173" s="5">
        <v>170</v>
      </c>
      <c r="C173" s="5" t="s">
        <v>49</v>
      </c>
      <c r="D173" s="5" t="s">
        <v>404</v>
      </c>
      <c r="E173" s="40" t="s">
        <v>517</v>
      </c>
      <c r="F173" s="6">
        <v>1115</v>
      </c>
      <c r="G173" s="5" t="s">
        <v>424</v>
      </c>
      <c r="H173" s="5" t="s">
        <v>80</v>
      </c>
      <c r="I173" s="5" t="s">
        <v>19</v>
      </c>
      <c r="J173" s="5">
        <v>50700000</v>
      </c>
      <c r="K173" s="5" t="s">
        <v>10</v>
      </c>
      <c r="L173" s="5" t="s">
        <v>444</v>
      </c>
    </row>
    <row r="174" spans="1:12" ht="45" x14ac:dyDescent="0.25">
      <c r="A174" s="5"/>
      <c r="B174" s="1">
        <v>171</v>
      </c>
      <c r="C174" s="5" t="s">
        <v>85</v>
      </c>
      <c r="D174" s="5" t="s">
        <v>86</v>
      </c>
      <c r="E174" s="40" t="s">
        <v>438</v>
      </c>
      <c r="F174" s="6">
        <v>1500</v>
      </c>
      <c r="G174" s="5" t="s">
        <v>424</v>
      </c>
      <c r="H174" s="5" t="s">
        <v>80</v>
      </c>
      <c r="I174" s="5" t="s">
        <v>19</v>
      </c>
      <c r="J174" s="5">
        <v>60100000</v>
      </c>
      <c r="K174" s="5" t="s">
        <v>3</v>
      </c>
      <c r="L174" s="5" t="s">
        <v>437</v>
      </c>
    </row>
    <row r="175" spans="1:12" ht="45" x14ac:dyDescent="0.25">
      <c r="A175" s="5"/>
      <c r="B175" s="1">
        <v>172</v>
      </c>
      <c r="C175" s="5" t="s">
        <v>405</v>
      </c>
      <c r="D175" s="5" t="s">
        <v>88</v>
      </c>
      <c r="E175" s="40">
        <f>1118.7+59.4+312.4+213.4</f>
        <v>1703.9</v>
      </c>
      <c r="F175" s="6">
        <v>7000</v>
      </c>
      <c r="G175" s="5" t="s">
        <v>424</v>
      </c>
      <c r="H175" s="5" t="s">
        <v>26</v>
      </c>
      <c r="I175" s="5" t="s">
        <v>19</v>
      </c>
      <c r="J175" s="5">
        <v>55300000</v>
      </c>
      <c r="K175" s="5" t="s">
        <v>3</v>
      </c>
      <c r="L175" s="5" t="s">
        <v>432</v>
      </c>
    </row>
    <row r="176" spans="1:12" ht="45" x14ac:dyDescent="0.2">
      <c r="A176" s="5"/>
      <c r="B176" s="5">
        <v>173</v>
      </c>
      <c r="C176" s="5" t="s">
        <v>406</v>
      </c>
      <c r="D176" s="5" t="s">
        <v>88</v>
      </c>
      <c r="E176" s="40">
        <v>663.17</v>
      </c>
      <c r="F176" s="6">
        <v>950</v>
      </c>
      <c r="G176" s="5" t="s">
        <v>424</v>
      </c>
      <c r="H176" s="5" t="s">
        <v>80</v>
      </c>
      <c r="I176" s="5" t="s">
        <v>19</v>
      </c>
      <c r="J176" s="5">
        <v>55300000</v>
      </c>
      <c r="K176" s="5" t="s">
        <v>3</v>
      </c>
      <c r="L176" s="31" t="s">
        <v>445</v>
      </c>
    </row>
    <row r="177" spans="1:12" ht="45" x14ac:dyDescent="0.25">
      <c r="A177" s="5"/>
      <c r="B177" s="5">
        <v>174</v>
      </c>
      <c r="C177" s="5" t="s">
        <v>407</v>
      </c>
      <c r="D177" s="5" t="s">
        <v>88</v>
      </c>
      <c r="E177" s="40" t="s">
        <v>500</v>
      </c>
      <c r="F177" s="6">
        <v>2280</v>
      </c>
      <c r="G177" s="5" t="s">
        <v>424</v>
      </c>
      <c r="H177" s="5" t="s">
        <v>80</v>
      </c>
      <c r="I177" s="5" t="s">
        <v>19</v>
      </c>
      <c r="J177" s="5">
        <v>55300000</v>
      </c>
      <c r="K177" s="5" t="s">
        <v>3</v>
      </c>
      <c r="L177" s="5" t="s">
        <v>446</v>
      </c>
    </row>
    <row r="178" spans="1:12" ht="45" x14ac:dyDescent="0.25">
      <c r="A178" s="5"/>
      <c r="B178" s="1">
        <v>175</v>
      </c>
      <c r="C178" s="5" t="s">
        <v>408</v>
      </c>
      <c r="D178" s="5" t="s">
        <v>84</v>
      </c>
      <c r="E178" s="40">
        <v>990</v>
      </c>
      <c r="F178" s="6">
        <v>990</v>
      </c>
      <c r="G178" s="5" t="s">
        <v>424</v>
      </c>
      <c r="H178" s="5" t="s">
        <v>80</v>
      </c>
      <c r="I178" s="5" t="s">
        <v>19</v>
      </c>
      <c r="J178" s="5">
        <v>55100000</v>
      </c>
      <c r="K178" s="5" t="s">
        <v>3</v>
      </c>
      <c r="L178" s="5" t="s">
        <v>447</v>
      </c>
    </row>
    <row r="179" spans="1:12" ht="45" x14ac:dyDescent="0.25">
      <c r="A179" s="5"/>
      <c r="B179" s="1">
        <v>176</v>
      </c>
      <c r="C179" s="5" t="s">
        <v>272</v>
      </c>
      <c r="D179" s="5" t="s">
        <v>86</v>
      </c>
      <c r="E179" s="40" t="s">
        <v>499</v>
      </c>
      <c r="F179" s="6">
        <v>3880</v>
      </c>
      <c r="G179" s="5" t="s">
        <v>424</v>
      </c>
      <c r="H179" s="5" t="s">
        <v>80</v>
      </c>
      <c r="I179" s="5" t="s">
        <v>19</v>
      </c>
      <c r="J179" s="5">
        <v>60100000</v>
      </c>
      <c r="K179" s="5" t="s">
        <v>3</v>
      </c>
      <c r="L179" s="5" t="s">
        <v>448</v>
      </c>
    </row>
    <row r="180" spans="1:12" ht="45" x14ac:dyDescent="0.25">
      <c r="A180" s="5"/>
      <c r="B180" s="5">
        <v>177</v>
      </c>
      <c r="C180" s="5" t="s">
        <v>272</v>
      </c>
      <c r="D180" s="5" t="s">
        <v>82</v>
      </c>
      <c r="E180" s="40" t="s">
        <v>498</v>
      </c>
      <c r="F180" s="6">
        <v>2000</v>
      </c>
      <c r="G180" s="5" t="s">
        <v>424</v>
      </c>
      <c r="H180" s="5" t="s">
        <v>80</v>
      </c>
      <c r="I180" s="5" t="s">
        <v>19</v>
      </c>
      <c r="J180" s="5">
        <v>63500000</v>
      </c>
      <c r="K180" s="5" t="s">
        <v>3</v>
      </c>
      <c r="L180" s="5" t="s">
        <v>449</v>
      </c>
    </row>
    <row r="181" spans="1:12" ht="45" x14ac:dyDescent="0.25">
      <c r="A181" s="5"/>
      <c r="B181" s="5">
        <v>178</v>
      </c>
      <c r="C181" s="5" t="s">
        <v>409</v>
      </c>
      <c r="D181" s="5" t="s">
        <v>84</v>
      </c>
      <c r="E181" s="40">
        <v>799.98</v>
      </c>
      <c r="F181" s="6">
        <v>1248.6600000000001</v>
      </c>
      <c r="G181" s="5" t="s">
        <v>424</v>
      </c>
      <c r="H181" s="5" t="s">
        <v>80</v>
      </c>
      <c r="I181" s="5" t="s">
        <v>19</v>
      </c>
      <c r="J181" s="5">
        <v>55100000</v>
      </c>
      <c r="K181" s="5" t="s">
        <v>3</v>
      </c>
      <c r="L181" s="5" t="s">
        <v>450</v>
      </c>
    </row>
    <row r="182" spans="1:12" ht="45" x14ac:dyDescent="0.25">
      <c r="A182" s="5"/>
      <c r="B182" s="5">
        <v>181</v>
      </c>
      <c r="C182" s="5" t="s">
        <v>451</v>
      </c>
      <c r="D182" s="5" t="s">
        <v>466</v>
      </c>
      <c r="E182" s="40" t="s">
        <v>524</v>
      </c>
      <c r="F182" s="6">
        <v>130</v>
      </c>
      <c r="G182" s="5" t="s">
        <v>477</v>
      </c>
      <c r="H182" s="5" t="s">
        <v>80</v>
      </c>
      <c r="I182" s="5" t="s">
        <v>19</v>
      </c>
      <c r="J182" s="5">
        <v>22400000</v>
      </c>
      <c r="K182" s="13" t="s">
        <v>10</v>
      </c>
      <c r="L182" s="5" t="s">
        <v>523</v>
      </c>
    </row>
    <row r="183" spans="1:12" ht="101.25" x14ac:dyDescent="0.25">
      <c r="A183" s="5"/>
      <c r="B183" s="5">
        <v>182</v>
      </c>
      <c r="C183" s="5" t="s">
        <v>452</v>
      </c>
      <c r="D183" s="5" t="s">
        <v>467</v>
      </c>
      <c r="E183" s="40" t="s">
        <v>541</v>
      </c>
      <c r="F183" s="6">
        <v>4860</v>
      </c>
      <c r="G183" s="5" t="s">
        <v>478</v>
      </c>
      <c r="H183" s="5" t="s">
        <v>80</v>
      </c>
      <c r="I183" s="5" t="s">
        <v>19</v>
      </c>
      <c r="J183" s="5">
        <v>79300000</v>
      </c>
      <c r="K183" s="13" t="s">
        <v>281</v>
      </c>
      <c r="L183" s="5" t="s">
        <v>479</v>
      </c>
    </row>
    <row r="184" spans="1:12" ht="45" x14ac:dyDescent="0.25">
      <c r="A184" s="5"/>
      <c r="B184" s="1">
        <v>183</v>
      </c>
      <c r="C184" s="5" t="s">
        <v>453</v>
      </c>
      <c r="D184" s="5" t="s">
        <v>468</v>
      </c>
      <c r="E184" s="40">
        <v>40</v>
      </c>
      <c r="F184" s="6">
        <v>40</v>
      </c>
      <c r="G184" s="5" t="s">
        <v>478</v>
      </c>
      <c r="H184" s="5" t="s">
        <v>80</v>
      </c>
      <c r="I184" s="5" t="s">
        <v>19</v>
      </c>
      <c r="J184" s="5">
        <v>48400000</v>
      </c>
      <c r="K184" s="13" t="s">
        <v>10</v>
      </c>
      <c r="L184" s="5" t="s">
        <v>496</v>
      </c>
    </row>
    <row r="185" spans="1:12" s="18" customFormat="1" ht="45" x14ac:dyDescent="0.25">
      <c r="A185" s="5"/>
      <c r="B185" s="1">
        <v>184</v>
      </c>
      <c r="C185" s="5" t="s">
        <v>454</v>
      </c>
      <c r="D185" s="5" t="s">
        <v>86</v>
      </c>
      <c r="E185" s="40" t="s">
        <v>522</v>
      </c>
      <c r="F185" s="6">
        <v>2050</v>
      </c>
      <c r="G185" s="5" t="s">
        <v>480</v>
      </c>
      <c r="H185" s="5" t="s">
        <v>80</v>
      </c>
      <c r="I185" s="5" t="s">
        <v>19</v>
      </c>
      <c r="J185" s="5">
        <v>60100000</v>
      </c>
      <c r="K185" s="5" t="s">
        <v>3</v>
      </c>
      <c r="L185" s="5" t="s">
        <v>481</v>
      </c>
    </row>
    <row r="186" spans="1:12" ht="45" x14ac:dyDescent="0.25">
      <c r="A186" s="5"/>
      <c r="B186" s="5">
        <v>185</v>
      </c>
      <c r="C186" s="5" t="s">
        <v>396</v>
      </c>
      <c r="D186" s="5" t="s">
        <v>82</v>
      </c>
      <c r="E186" s="40" t="s">
        <v>521</v>
      </c>
      <c r="F186" s="6">
        <v>1749.5</v>
      </c>
      <c r="G186" s="5" t="s">
        <v>480</v>
      </c>
      <c r="H186" s="5" t="s">
        <v>80</v>
      </c>
      <c r="I186" s="5" t="s">
        <v>19</v>
      </c>
      <c r="J186" s="5">
        <v>63500000</v>
      </c>
      <c r="K186" s="5" t="s">
        <v>3</v>
      </c>
      <c r="L186" s="5" t="s">
        <v>482</v>
      </c>
    </row>
    <row r="187" spans="1:12" ht="101.25" x14ac:dyDescent="0.25">
      <c r="A187" s="5"/>
      <c r="B187" s="5">
        <v>186</v>
      </c>
      <c r="C187" s="5" t="s">
        <v>455</v>
      </c>
      <c r="D187" s="5" t="s">
        <v>469</v>
      </c>
      <c r="E187" s="40">
        <v>869.75</v>
      </c>
      <c r="F187" s="6">
        <v>936.36</v>
      </c>
      <c r="G187" s="5" t="s">
        <v>480</v>
      </c>
      <c r="H187" s="5" t="s">
        <v>80</v>
      </c>
      <c r="I187" s="5" t="s">
        <v>19</v>
      </c>
      <c r="J187" s="5">
        <v>15900000</v>
      </c>
      <c r="K187" s="13" t="s">
        <v>281</v>
      </c>
      <c r="L187" s="5" t="s">
        <v>483</v>
      </c>
    </row>
    <row r="188" spans="1:12" ht="45" x14ac:dyDescent="0.25">
      <c r="A188" s="5"/>
      <c r="B188" s="1">
        <v>187</v>
      </c>
      <c r="C188" s="5" t="s">
        <v>456</v>
      </c>
      <c r="D188" s="5" t="s">
        <v>470</v>
      </c>
      <c r="E188" s="40">
        <v>840</v>
      </c>
      <c r="F188" s="6">
        <v>840</v>
      </c>
      <c r="G188" s="5" t="s">
        <v>484</v>
      </c>
      <c r="H188" s="5" t="s">
        <v>80</v>
      </c>
      <c r="I188" s="5" t="s">
        <v>19</v>
      </c>
      <c r="J188" s="5">
        <v>22400000</v>
      </c>
      <c r="K188" s="13" t="s">
        <v>10</v>
      </c>
      <c r="L188" s="5" t="s">
        <v>532</v>
      </c>
    </row>
    <row r="189" spans="1:12" ht="33.75" x14ac:dyDescent="0.25">
      <c r="A189" s="5"/>
      <c r="B189" s="1">
        <v>188</v>
      </c>
      <c r="C189" s="5" t="s">
        <v>457</v>
      </c>
      <c r="D189" s="5" t="s">
        <v>471</v>
      </c>
      <c r="E189" s="42">
        <v>3075</v>
      </c>
      <c r="F189" s="6">
        <v>13000</v>
      </c>
      <c r="G189" s="5" t="s">
        <v>485</v>
      </c>
      <c r="H189" s="5" t="s">
        <v>26</v>
      </c>
      <c r="I189" s="5" t="s">
        <v>9</v>
      </c>
      <c r="J189" s="5">
        <v>79800000</v>
      </c>
      <c r="K189" s="20" t="s">
        <v>486</v>
      </c>
      <c r="L189" s="5"/>
    </row>
    <row r="190" spans="1:12" ht="45" x14ac:dyDescent="0.25">
      <c r="A190" s="5"/>
      <c r="B190" s="5">
        <v>189</v>
      </c>
      <c r="C190" s="5" t="s">
        <v>458</v>
      </c>
      <c r="D190" s="5" t="s">
        <v>88</v>
      </c>
      <c r="E190" s="40">
        <v>150</v>
      </c>
      <c r="F190" s="6">
        <v>150</v>
      </c>
      <c r="G190" s="5" t="s">
        <v>485</v>
      </c>
      <c r="H190" s="5" t="s">
        <v>80</v>
      </c>
      <c r="I190" s="5" t="s">
        <v>19</v>
      </c>
      <c r="J190" s="5">
        <v>55300000</v>
      </c>
      <c r="K190" s="5" t="s">
        <v>3</v>
      </c>
      <c r="L190" s="5" t="s">
        <v>487</v>
      </c>
    </row>
    <row r="191" spans="1:12" ht="45" x14ac:dyDescent="0.25">
      <c r="A191" s="5"/>
      <c r="B191" s="5">
        <v>190</v>
      </c>
      <c r="C191" s="5" t="s">
        <v>120</v>
      </c>
      <c r="D191" s="5" t="s">
        <v>84</v>
      </c>
      <c r="E191" s="40">
        <v>520.28</v>
      </c>
      <c r="F191" s="6">
        <v>520.28</v>
      </c>
      <c r="G191" s="5" t="s">
        <v>485</v>
      </c>
      <c r="H191" s="5" t="s">
        <v>80</v>
      </c>
      <c r="I191" s="5" t="s">
        <v>19</v>
      </c>
      <c r="J191" s="5">
        <v>55100000</v>
      </c>
      <c r="K191" s="5" t="s">
        <v>3</v>
      </c>
      <c r="L191" s="5" t="s">
        <v>488</v>
      </c>
    </row>
    <row r="192" spans="1:12" ht="45" x14ac:dyDescent="0.25">
      <c r="A192" s="5"/>
      <c r="B192" s="1">
        <v>191</v>
      </c>
      <c r="C192" s="5" t="s">
        <v>459</v>
      </c>
      <c r="D192" s="5" t="s">
        <v>84</v>
      </c>
      <c r="E192" s="40">
        <f>800+200+200+100+500+700</f>
        <v>2500</v>
      </c>
      <c r="F192" s="6">
        <v>10000</v>
      </c>
      <c r="G192" s="5" t="s">
        <v>485</v>
      </c>
      <c r="H192" s="5" t="s">
        <v>26</v>
      </c>
      <c r="I192" s="5" t="s">
        <v>19</v>
      </c>
      <c r="J192" s="5">
        <v>55100000</v>
      </c>
      <c r="K192" s="5" t="s">
        <v>3</v>
      </c>
      <c r="L192" s="5" t="s">
        <v>489</v>
      </c>
    </row>
    <row r="193" spans="1:12" ht="45" x14ac:dyDescent="0.25">
      <c r="A193" s="5"/>
      <c r="B193" s="1">
        <v>192</v>
      </c>
      <c r="C193" s="5" t="s">
        <v>405</v>
      </c>
      <c r="D193" s="5" t="s">
        <v>84</v>
      </c>
      <c r="E193" s="40">
        <f>157.25+1117.75+314.5+1462+365.5+157.25+1100.75</f>
        <v>4675</v>
      </c>
      <c r="F193" s="6">
        <v>50000</v>
      </c>
      <c r="G193" s="5" t="s">
        <v>485</v>
      </c>
      <c r="H193" s="5" t="s">
        <v>26</v>
      </c>
      <c r="I193" s="5" t="s">
        <v>19</v>
      </c>
      <c r="J193" s="5">
        <v>55100000</v>
      </c>
      <c r="K193" s="5" t="s">
        <v>3</v>
      </c>
      <c r="L193" s="5" t="s">
        <v>526</v>
      </c>
    </row>
    <row r="194" spans="1:12" ht="45" x14ac:dyDescent="0.25">
      <c r="A194" s="5"/>
      <c r="B194" s="5">
        <v>193</v>
      </c>
      <c r="C194" s="5" t="s">
        <v>460</v>
      </c>
      <c r="D194" s="5" t="s">
        <v>472</v>
      </c>
      <c r="E194" s="40" t="s">
        <v>529</v>
      </c>
      <c r="F194" s="6">
        <v>30</v>
      </c>
      <c r="G194" s="5" t="s">
        <v>485</v>
      </c>
      <c r="H194" s="5" t="s">
        <v>80</v>
      </c>
      <c r="I194" s="5" t="s">
        <v>19</v>
      </c>
      <c r="J194" s="5">
        <v>22400000</v>
      </c>
      <c r="K194" s="13" t="s">
        <v>10</v>
      </c>
      <c r="L194" s="5" t="s">
        <v>527</v>
      </c>
    </row>
    <row r="195" spans="1:12" ht="101.25" x14ac:dyDescent="0.25">
      <c r="A195" s="5"/>
      <c r="B195" s="5">
        <v>194</v>
      </c>
      <c r="C195" s="5" t="s">
        <v>461</v>
      </c>
      <c r="D195" s="5" t="s">
        <v>473</v>
      </c>
      <c r="E195" s="40" t="s">
        <v>544</v>
      </c>
      <c r="F195" s="6">
        <v>100340</v>
      </c>
      <c r="G195" s="5" t="s">
        <v>485</v>
      </c>
      <c r="H195" s="5" t="s">
        <v>80</v>
      </c>
      <c r="I195" s="5" t="s">
        <v>19</v>
      </c>
      <c r="J195" s="5">
        <v>39100000</v>
      </c>
      <c r="K195" s="13" t="s">
        <v>281</v>
      </c>
      <c r="L195" s="5" t="s">
        <v>490</v>
      </c>
    </row>
    <row r="196" spans="1:12" ht="45" x14ac:dyDescent="0.25">
      <c r="A196" s="5"/>
      <c r="B196" s="1">
        <v>195</v>
      </c>
      <c r="C196" s="5" t="s">
        <v>462</v>
      </c>
      <c r="D196" s="5" t="s">
        <v>82</v>
      </c>
      <c r="E196" s="40">
        <v>950</v>
      </c>
      <c r="F196" s="6">
        <v>950</v>
      </c>
      <c r="G196" s="5" t="s">
        <v>491</v>
      </c>
      <c r="H196" s="5" t="s">
        <v>80</v>
      </c>
      <c r="I196" s="5" t="s">
        <v>19</v>
      </c>
      <c r="J196" s="5">
        <v>63500000</v>
      </c>
      <c r="K196" s="11" t="s">
        <v>3</v>
      </c>
      <c r="L196" s="5" t="s">
        <v>525</v>
      </c>
    </row>
    <row r="197" spans="1:12" ht="67.5" x14ac:dyDescent="0.25">
      <c r="A197" s="5"/>
      <c r="B197" s="1">
        <v>196</v>
      </c>
      <c r="C197" s="5" t="s">
        <v>463</v>
      </c>
      <c r="D197" s="5" t="s">
        <v>474</v>
      </c>
      <c r="E197" s="38">
        <f>10007.54+54693.34+4770.15</f>
        <v>69471.03</v>
      </c>
      <c r="F197" s="6">
        <v>85758.73</v>
      </c>
      <c r="G197" s="5" t="s">
        <v>491</v>
      </c>
      <c r="H197" s="5" t="s">
        <v>80</v>
      </c>
      <c r="I197" s="5" t="s">
        <v>11</v>
      </c>
      <c r="J197" s="5">
        <v>45200000</v>
      </c>
      <c r="K197" s="13" t="s">
        <v>492</v>
      </c>
      <c r="L197" s="5"/>
    </row>
    <row r="198" spans="1:12" ht="101.25" x14ac:dyDescent="0.25">
      <c r="A198" s="5"/>
      <c r="B198" s="5">
        <v>197</v>
      </c>
      <c r="C198" s="5" t="s">
        <v>464</v>
      </c>
      <c r="D198" s="5" t="s">
        <v>475</v>
      </c>
      <c r="E198" s="40">
        <f>2672+468.05</f>
        <v>3140.05</v>
      </c>
      <c r="F198" s="6">
        <v>3422</v>
      </c>
      <c r="G198" s="5" t="s">
        <v>491</v>
      </c>
      <c r="H198" s="5" t="s">
        <v>493</v>
      </c>
      <c r="I198" s="5" t="s">
        <v>19</v>
      </c>
      <c r="J198" s="5">
        <v>79300000</v>
      </c>
      <c r="K198" s="13" t="s">
        <v>281</v>
      </c>
      <c r="L198" s="5" t="s">
        <v>533</v>
      </c>
    </row>
    <row r="199" spans="1:12" ht="45" x14ac:dyDescent="0.25">
      <c r="A199" s="5"/>
      <c r="B199" s="5">
        <v>198</v>
      </c>
      <c r="C199" s="5" t="s">
        <v>85</v>
      </c>
      <c r="D199" s="5" t="s">
        <v>86</v>
      </c>
      <c r="E199" s="40" t="s">
        <v>535</v>
      </c>
      <c r="F199" s="6">
        <v>1400</v>
      </c>
      <c r="G199" s="5" t="s">
        <v>494</v>
      </c>
      <c r="H199" s="5" t="s">
        <v>80</v>
      </c>
      <c r="I199" s="5" t="s">
        <v>19</v>
      </c>
      <c r="J199" s="5">
        <v>60100000</v>
      </c>
      <c r="K199" s="11" t="s">
        <v>3</v>
      </c>
      <c r="L199" s="5" t="s">
        <v>534</v>
      </c>
    </row>
    <row r="200" spans="1:12" ht="45" x14ac:dyDescent="0.25">
      <c r="A200" s="5"/>
      <c r="B200" s="1">
        <v>199</v>
      </c>
      <c r="C200" s="5" t="s">
        <v>189</v>
      </c>
      <c r="D200" s="5" t="s">
        <v>190</v>
      </c>
      <c r="E200" s="40">
        <v>150</v>
      </c>
      <c r="F200" s="6">
        <v>150</v>
      </c>
      <c r="G200" s="5" t="s">
        <v>495</v>
      </c>
      <c r="H200" s="5" t="s">
        <v>80</v>
      </c>
      <c r="I200" s="5" t="s">
        <v>19</v>
      </c>
      <c r="J200" s="5">
        <v>15300000</v>
      </c>
      <c r="K200" s="13" t="s">
        <v>10</v>
      </c>
      <c r="L200" s="5" t="s">
        <v>530</v>
      </c>
    </row>
    <row r="201" spans="1:12" ht="45" x14ac:dyDescent="0.25">
      <c r="A201" s="5"/>
      <c r="B201" s="1">
        <v>200</v>
      </c>
      <c r="C201" s="5" t="s">
        <v>106</v>
      </c>
      <c r="D201" s="5" t="s">
        <v>107</v>
      </c>
      <c r="E201" s="40">
        <v>95.57</v>
      </c>
      <c r="F201" s="6">
        <v>95.57</v>
      </c>
      <c r="G201" s="5" t="s">
        <v>495</v>
      </c>
      <c r="H201" s="5" t="s">
        <v>80</v>
      </c>
      <c r="I201" s="5" t="s">
        <v>19</v>
      </c>
      <c r="J201" s="5">
        <v>15500000</v>
      </c>
      <c r="K201" s="13" t="s">
        <v>10</v>
      </c>
      <c r="L201" s="5" t="s">
        <v>531</v>
      </c>
    </row>
    <row r="202" spans="1:12" ht="45" x14ac:dyDescent="0.25">
      <c r="A202" s="5"/>
      <c r="B202" s="5">
        <v>201</v>
      </c>
      <c r="C202" s="5" t="s">
        <v>465</v>
      </c>
      <c r="D202" s="5" t="s">
        <v>476</v>
      </c>
      <c r="E202" s="40" t="s">
        <v>606</v>
      </c>
      <c r="F202" s="6">
        <v>4176</v>
      </c>
      <c r="G202" s="5" t="s">
        <v>495</v>
      </c>
      <c r="H202" s="5" t="s">
        <v>80</v>
      </c>
      <c r="I202" s="5" t="s">
        <v>19</v>
      </c>
      <c r="J202" s="5">
        <v>33700000</v>
      </c>
      <c r="K202" s="13" t="s">
        <v>10</v>
      </c>
      <c r="L202" s="5" t="s">
        <v>605</v>
      </c>
    </row>
    <row r="203" spans="1:12" ht="157.5" customHeight="1" x14ac:dyDescent="0.25">
      <c r="A203" s="5"/>
      <c r="B203" s="1">
        <v>203</v>
      </c>
      <c r="C203" s="5" t="s">
        <v>607</v>
      </c>
      <c r="D203" s="5" t="s">
        <v>608</v>
      </c>
      <c r="E203" s="40">
        <v>40</v>
      </c>
      <c r="F203" s="6">
        <v>40</v>
      </c>
      <c r="G203" s="5" t="s">
        <v>495</v>
      </c>
      <c r="H203" s="5" t="s">
        <v>80</v>
      </c>
      <c r="I203" s="5" t="s">
        <v>19</v>
      </c>
      <c r="J203" s="5">
        <v>50300000</v>
      </c>
      <c r="K203" s="13" t="s">
        <v>10</v>
      </c>
      <c r="L203" s="5" t="s">
        <v>609</v>
      </c>
    </row>
    <row r="204" spans="1:12" ht="101.25" x14ac:dyDescent="0.25">
      <c r="A204" s="5"/>
      <c r="B204" s="1">
        <v>204</v>
      </c>
      <c r="C204" s="5" t="s">
        <v>501</v>
      </c>
      <c r="D204" s="5" t="s">
        <v>100</v>
      </c>
      <c r="E204" s="40" t="s">
        <v>528</v>
      </c>
      <c r="F204" s="6">
        <v>1500</v>
      </c>
      <c r="G204" s="5" t="s">
        <v>495</v>
      </c>
      <c r="H204" s="5" t="s">
        <v>80</v>
      </c>
      <c r="I204" s="5" t="s">
        <v>19</v>
      </c>
      <c r="J204" s="5">
        <v>79300000</v>
      </c>
      <c r="K204" s="13" t="s">
        <v>281</v>
      </c>
      <c r="L204" s="5" t="s">
        <v>511</v>
      </c>
    </row>
    <row r="205" spans="1:12" ht="101.25" x14ac:dyDescent="0.25">
      <c r="A205" s="5"/>
      <c r="B205" s="5">
        <v>205</v>
      </c>
      <c r="C205" s="5" t="s">
        <v>502</v>
      </c>
      <c r="D205" s="5" t="s">
        <v>503</v>
      </c>
      <c r="E205" s="40" t="s">
        <v>543</v>
      </c>
      <c r="F205" s="6">
        <v>7685</v>
      </c>
      <c r="G205" s="5" t="s">
        <v>512</v>
      </c>
      <c r="H205" s="5" t="s">
        <v>80</v>
      </c>
      <c r="I205" s="5" t="s">
        <v>19</v>
      </c>
      <c r="J205" s="5">
        <v>79900000</v>
      </c>
      <c r="K205" s="13" t="s">
        <v>281</v>
      </c>
      <c r="L205" s="5" t="s">
        <v>542</v>
      </c>
    </row>
    <row r="206" spans="1:12" ht="22.5" x14ac:dyDescent="0.25">
      <c r="A206" s="5"/>
      <c r="B206" s="5">
        <v>206</v>
      </c>
      <c r="C206" s="5" t="s">
        <v>504</v>
      </c>
      <c r="D206" s="5" t="s">
        <v>505</v>
      </c>
      <c r="E206" s="42"/>
      <c r="F206" s="6">
        <v>10144</v>
      </c>
      <c r="G206" s="5" t="s">
        <v>513</v>
      </c>
      <c r="H206" s="5" t="s">
        <v>80</v>
      </c>
      <c r="I206" s="5" t="s">
        <v>11</v>
      </c>
      <c r="J206" s="5">
        <v>80500000</v>
      </c>
      <c r="K206" s="20" t="s">
        <v>514</v>
      </c>
      <c r="L206" s="5"/>
    </row>
    <row r="207" spans="1:12" ht="22.5" x14ac:dyDescent="0.25">
      <c r="A207" s="5"/>
      <c r="B207" s="1">
        <v>207</v>
      </c>
      <c r="C207" s="5" t="s">
        <v>506</v>
      </c>
      <c r="D207" s="5" t="s">
        <v>507</v>
      </c>
      <c r="E207" s="38">
        <f>2456.5</f>
        <v>2456.5</v>
      </c>
      <c r="F207" s="6">
        <v>6000</v>
      </c>
      <c r="G207" s="5" t="s">
        <v>513</v>
      </c>
      <c r="H207" s="5" t="s">
        <v>26</v>
      </c>
      <c r="I207" s="5" t="s">
        <v>9</v>
      </c>
      <c r="J207" s="5">
        <v>50100000</v>
      </c>
      <c r="K207" s="20" t="s">
        <v>515</v>
      </c>
      <c r="L207" s="5"/>
    </row>
    <row r="208" spans="1:12" ht="45" x14ac:dyDescent="0.25">
      <c r="A208" s="5"/>
      <c r="B208" s="1">
        <v>208</v>
      </c>
      <c r="C208" s="5" t="s">
        <v>508</v>
      </c>
      <c r="D208" s="5" t="s">
        <v>88</v>
      </c>
      <c r="E208" s="40" t="s">
        <v>540</v>
      </c>
      <c r="F208" s="6">
        <v>5410</v>
      </c>
      <c r="G208" s="5" t="s">
        <v>516</v>
      </c>
      <c r="H208" s="5" t="s">
        <v>80</v>
      </c>
      <c r="I208" s="5" t="s">
        <v>19</v>
      </c>
      <c r="J208" s="5">
        <v>55300000</v>
      </c>
      <c r="K208" s="5" t="s">
        <v>3</v>
      </c>
      <c r="L208" s="5" t="s">
        <v>536</v>
      </c>
    </row>
    <row r="209" spans="1:12" ht="45" x14ac:dyDescent="0.25">
      <c r="A209" s="5"/>
      <c r="B209" s="5">
        <v>209</v>
      </c>
      <c r="C209" s="5" t="s">
        <v>509</v>
      </c>
      <c r="D209" s="5" t="s">
        <v>88</v>
      </c>
      <c r="E209" s="40" t="s">
        <v>602</v>
      </c>
      <c r="F209" s="6">
        <v>1600</v>
      </c>
      <c r="G209" s="5" t="s">
        <v>516</v>
      </c>
      <c r="H209" s="5" t="s">
        <v>80</v>
      </c>
      <c r="I209" s="5" t="s">
        <v>19</v>
      </c>
      <c r="J209" s="5">
        <v>55300000</v>
      </c>
      <c r="K209" s="5" t="s">
        <v>3</v>
      </c>
      <c r="L209" s="5" t="s">
        <v>537</v>
      </c>
    </row>
    <row r="210" spans="1:12" ht="45" x14ac:dyDescent="0.25">
      <c r="A210" s="5"/>
      <c r="B210" s="5">
        <v>210</v>
      </c>
      <c r="C210" s="5" t="s">
        <v>510</v>
      </c>
      <c r="D210" s="5" t="s">
        <v>88</v>
      </c>
      <c r="E210" s="40" t="s">
        <v>601</v>
      </c>
      <c r="F210" s="6">
        <v>2000</v>
      </c>
      <c r="G210" s="5" t="s">
        <v>516</v>
      </c>
      <c r="H210" s="5" t="s">
        <v>80</v>
      </c>
      <c r="I210" s="5" t="s">
        <v>19</v>
      </c>
      <c r="J210" s="5">
        <v>55300000</v>
      </c>
      <c r="K210" s="5" t="s">
        <v>3</v>
      </c>
      <c r="L210" s="5" t="s">
        <v>538</v>
      </c>
    </row>
    <row r="211" spans="1:12" ht="45" x14ac:dyDescent="0.25">
      <c r="A211" s="5"/>
      <c r="B211" s="1">
        <v>211</v>
      </c>
      <c r="C211" s="5" t="s">
        <v>510</v>
      </c>
      <c r="D211" s="5" t="s">
        <v>84</v>
      </c>
      <c r="E211" s="40" t="s">
        <v>600</v>
      </c>
      <c r="F211" s="6">
        <v>4463.5</v>
      </c>
      <c r="G211" s="5" t="s">
        <v>516</v>
      </c>
      <c r="H211" s="5" t="s">
        <v>80</v>
      </c>
      <c r="I211" s="5" t="s">
        <v>19</v>
      </c>
      <c r="J211" s="5">
        <v>55100000</v>
      </c>
      <c r="K211" s="5" t="s">
        <v>3</v>
      </c>
      <c r="L211" s="5" t="s">
        <v>539</v>
      </c>
    </row>
    <row r="212" spans="1:12" ht="101.25" x14ac:dyDescent="0.25">
      <c r="A212" s="5"/>
      <c r="B212" s="1">
        <v>212</v>
      </c>
      <c r="C212" s="5" t="s">
        <v>545</v>
      </c>
      <c r="D212" s="5" t="s">
        <v>546</v>
      </c>
      <c r="E212" s="40" t="s">
        <v>765</v>
      </c>
      <c r="F212" s="6">
        <v>18454</v>
      </c>
      <c r="G212" s="5" t="s">
        <v>577</v>
      </c>
      <c r="H212" s="5" t="s">
        <v>80</v>
      </c>
      <c r="I212" s="5" t="s">
        <v>19</v>
      </c>
      <c r="J212" s="5">
        <v>39100000</v>
      </c>
      <c r="K212" s="13" t="s">
        <v>281</v>
      </c>
      <c r="L212" s="5" t="s">
        <v>763</v>
      </c>
    </row>
    <row r="213" spans="1:12" ht="101.25" x14ac:dyDescent="0.25">
      <c r="A213" s="5"/>
      <c r="B213" s="5">
        <v>213</v>
      </c>
      <c r="C213" s="5" t="s">
        <v>547</v>
      </c>
      <c r="D213" s="5" t="s">
        <v>548</v>
      </c>
      <c r="E213" s="40" t="s">
        <v>766</v>
      </c>
      <c r="F213" s="6">
        <v>9555</v>
      </c>
      <c r="G213" s="5" t="s">
        <v>577</v>
      </c>
      <c r="H213" s="5" t="s">
        <v>80</v>
      </c>
      <c r="I213" s="5" t="s">
        <v>19</v>
      </c>
      <c r="J213" s="5">
        <v>39100000</v>
      </c>
      <c r="K213" s="13" t="s">
        <v>281</v>
      </c>
      <c r="L213" s="5" t="s">
        <v>764</v>
      </c>
    </row>
    <row r="214" spans="1:12" ht="101.25" x14ac:dyDescent="0.25">
      <c r="A214" s="5"/>
      <c r="B214" s="5">
        <v>214</v>
      </c>
      <c r="C214" s="5" t="s">
        <v>549</v>
      </c>
      <c r="D214" s="5" t="s">
        <v>550</v>
      </c>
      <c r="E214" s="40">
        <f>14969+2724.3+15414+2796.3+15766+2827.44</f>
        <v>54497.040000000008</v>
      </c>
      <c r="F214" s="6">
        <v>54870</v>
      </c>
      <c r="G214" s="5" t="s">
        <v>577</v>
      </c>
      <c r="H214" s="5" t="s">
        <v>80</v>
      </c>
      <c r="I214" s="5" t="s">
        <v>19</v>
      </c>
      <c r="J214" s="5">
        <v>79300000</v>
      </c>
      <c r="K214" s="13" t="s">
        <v>281</v>
      </c>
      <c r="L214" s="5" t="s">
        <v>785</v>
      </c>
    </row>
    <row r="215" spans="1:12" ht="22.5" x14ac:dyDescent="0.25">
      <c r="A215" s="5"/>
      <c r="B215" s="1">
        <v>215</v>
      </c>
      <c r="C215" s="5" t="s">
        <v>551</v>
      </c>
      <c r="D215" s="5" t="s">
        <v>552</v>
      </c>
      <c r="E215" s="38">
        <v>211724.82</v>
      </c>
      <c r="F215" s="6">
        <v>222906.81</v>
      </c>
      <c r="G215" s="5" t="s">
        <v>578</v>
      </c>
      <c r="H215" s="5" t="s">
        <v>80</v>
      </c>
      <c r="I215" s="5" t="s">
        <v>11</v>
      </c>
      <c r="J215" s="5">
        <v>45200000</v>
      </c>
      <c r="K215" s="5" t="s">
        <v>579</v>
      </c>
      <c r="L215" s="5"/>
    </row>
    <row r="216" spans="1:12" ht="45.75" x14ac:dyDescent="0.25">
      <c r="A216" s="5"/>
      <c r="B216" s="1">
        <v>216</v>
      </c>
      <c r="C216" s="5" t="s">
        <v>553</v>
      </c>
      <c r="D216" s="5" t="s">
        <v>554</v>
      </c>
      <c r="E216" s="40">
        <v>270</v>
      </c>
      <c r="F216" s="6">
        <v>270</v>
      </c>
      <c r="G216" s="5" t="s">
        <v>578</v>
      </c>
      <c r="H216" s="5" t="s">
        <v>80</v>
      </c>
      <c r="I216" s="5" t="s">
        <v>19</v>
      </c>
      <c r="J216" s="5">
        <v>50300000</v>
      </c>
      <c r="K216" s="11" t="s">
        <v>7</v>
      </c>
      <c r="L216" s="15" t="s">
        <v>761</v>
      </c>
    </row>
    <row r="217" spans="1:12" x14ac:dyDescent="0.25">
      <c r="A217" s="5"/>
      <c r="B217" s="5">
        <v>217</v>
      </c>
      <c r="C217" s="5" t="s">
        <v>555</v>
      </c>
      <c r="D217" s="5" t="s">
        <v>556</v>
      </c>
      <c r="E217" s="42"/>
      <c r="F217" s="6">
        <v>2778.8</v>
      </c>
      <c r="G217" s="5" t="s">
        <v>580</v>
      </c>
      <c r="H217" s="5" t="s">
        <v>80</v>
      </c>
      <c r="I217" s="5" t="s">
        <v>11</v>
      </c>
      <c r="J217" s="5">
        <v>80500000</v>
      </c>
      <c r="K217" s="5" t="s">
        <v>581</v>
      </c>
      <c r="L217" s="5"/>
    </row>
    <row r="218" spans="1:12" ht="45" x14ac:dyDescent="0.25">
      <c r="A218" s="5"/>
      <c r="B218" s="5">
        <v>218</v>
      </c>
      <c r="C218" s="5" t="s">
        <v>557</v>
      </c>
      <c r="D218" s="5" t="s">
        <v>558</v>
      </c>
      <c r="E218" s="40" t="s">
        <v>597</v>
      </c>
      <c r="F218" s="6">
        <v>1528</v>
      </c>
      <c r="G218" s="5" t="s">
        <v>582</v>
      </c>
      <c r="H218" s="5" t="s">
        <v>80</v>
      </c>
      <c r="I218" s="5" t="s">
        <v>19</v>
      </c>
      <c r="J218" s="5">
        <v>60200000</v>
      </c>
      <c r="K218" s="11" t="s">
        <v>3</v>
      </c>
      <c r="L218" s="5" t="s">
        <v>583</v>
      </c>
    </row>
    <row r="219" spans="1:12" ht="45" x14ac:dyDescent="0.25">
      <c r="A219" s="5"/>
      <c r="B219" s="1">
        <v>219</v>
      </c>
      <c r="C219" s="5" t="s">
        <v>559</v>
      </c>
      <c r="D219" s="5" t="s">
        <v>88</v>
      </c>
      <c r="E219" s="40">
        <f>2213.2+485.43+267.3+182.05</f>
        <v>3147.98</v>
      </c>
      <c r="F219" s="6">
        <v>7000</v>
      </c>
      <c r="G219" s="5" t="s">
        <v>582</v>
      </c>
      <c r="H219" s="5" t="s">
        <v>26</v>
      </c>
      <c r="I219" s="5" t="s">
        <v>19</v>
      </c>
      <c r="J219" s="5">
        <v>55300000</v>
      </c>
      <c r="K219" s="11" t="s">
        <v>3</v>
      </c>
      <c r="L219" s="5" t="s">
        <v>584</v>
      </c>
    </row>
    <row r="220" spans="1:12" ht="45" x14ac:dyDescent="0.25">
      <c r="A220" s="5"/>
      <c r="B220" s="1">
        <v>220</v>
      </c>
      <c r="C220" s="5" t="s">
        <v>560</v>
      </c>
      <c r="D220" s="5" t="s">
        <v>88</v>
      </c>
      <c r="E220" s="40">
        <f>1440.45+237.6+96.03+119.79+262.35+123.25</f>
        <v>2279.4699999999998</v>
      </c>
      <c r="F220" s="6">
        <v>7000</v>
      </c>
      <c r="G220" s="5" t="s">
        <v>582</v>
      </c>
      <c r="H220" s="5" t="s">
        <v>26</v>
      </c>
      <c r="I220" s="5" t="s">
        <v>19</v>
      </c>
      <c r="J220" s="5">
        <v>55300000</v>
      </c>
      <c r="K220" s="11" t="s">
        <v>3</v>
      </c>
      <c r="L220" s="5" t="s">
        <v>585</v>
      </c>
    </row>
    <row r="221" spans="1:12" ht="45" x14ac:dyDescent="0.25">
      <c r="A221" s="5"/>
      <c r="B221" s="5">
        <v>221</v>
      </c>
      <c r="C221" s="5" t="s">
        <v>561</v>
      </c>
      <c r="D221" s="5" t="s">
        <v>88</v>
      </c>
      <c r="E221" s="40" t="s">
        <v>603</v>
      </c>
      <c r="F221" s="6">
        <v>2000</v>
      </c>
      <c r="G221" s="5" t="s">
        <v>582</v>
      </c>
      <c r="H221" s="5" t="s">
        <v>80</v>
      </c>
      <c r="I221" s="5" t="s">
        <v>19</v>
      </c>
      <c r="J221" s="5">
        <v>55300000</v>
      </c>
      <c r="K221" s="11" t="s">
        <v>3</v>
      </c>
      <c r="L221" s="5" t="s">
        <v>586</v>
      </c>
    </row>
    <row r="222" spans="1:12" ht="45" x14ac:dyDescent="0.25">
      <c r="A222" s="5"/>
      <c r="B222" s="5">
        <v>222</v>
      </c>
      <c r="C222" s="5" t="s">
        <v>562</v>
      </c>
      <c r="D222" s="5" t="s">
        <v>563</v>
      </c>
      <c r="E222" s="40" t="s">
        <v>599</v>
      </c>
      <c r="F222" s="6">
        <v>1160</v>
      </c>
      <c r="G222" s="5" t="s">
        <v>582</v>
      </c>
      <c r="H222" s="5" t="s">
        <v>80</v>
      </c>
      <c r="I222" s="5" t="s">
        <v>19</v>
      </c>
      <c r="J222" s="5">
        <v>60100000</v>
      </c>
      <c r="K222" s="11" t="s">
        <v>3</v>
      </c>
      <c r="L222" s="5" t="s">
        <v>598</v>
      </c>
    </row>
    <row r="223" spans="1:12" ht="101.25" x14ac:dyDescent="0.25">
      <c r="A223" s="5"/>
      <c r="B223" s="1">
        <v>223</v>
      </c>
      <c r="C223" s="5" t="s">
        <v>564</v>
      </c>
      <c r="D223" s="5" t="s">
        <v>565</v>
      </c>
      <c r="E223" s="40">
        <f>4077305+733433.94</f>
        <v>4810738.9399999995</v>
      </c>
      <c r="F223" s="6">
        <v>4926500</v>
      </c>
      <c r="G223" s="5" t="s">
        <v>587</v>
      </c>
      <c r="H223" s="5" t="s">
        <v>80</v>
      </c>
      <c r="I223" s="5" t="s">
        <v>19</v>
      </c>
      <c r="J223" s="5">
        <v>79300000</v>
      </c>
      <c r="K223" s="13" t="s">
        <v>588</v>
      </c>
      <c r="L223" s="5" t="s">
        <v>589</v>
      </c>
    </row>
    <row r="224" spans="1:12" ht="45" x14ac:dyDescent="0.25">
      <c r="A224" s="5"/>
      <c r="B224" s="1">
        <v>224</v>
      </c>
      <c r="C224" s="5" t="s">
        <v>189</v>
      </c>
      <c r="D224" s="5" t="s">
        <v>190</v>
      </c>
      <c r="E224" s="40" t="s">
        <v>604</v>
      </c>
      <c r="F224" s="6">
        <v>150</v>
      </c>
      <c r="G224" s="5" t="s">
        <v>590</v>
      </c>
      <c r="H224" s="5" t="s">
        <v>80</v>
      </c>
      <c r="I224" s="5" t="s">
        <v>19</v>
      </c>
      <c r="J224" s="5">
        <v>15300000</v>
      </c>
      <c r="K224" s="13" t="s">
        <v>10</v>
      </c>
      <c r="L224" s="5" t="s">
        <v>591</v>
      </c>
    </row>
    <row r="225" spans="1:12" ht="45" x14ac:dyDescent="0.25">
      <c r="A225" s="5"/>
      <c r="B225" s="5">
        <v>225</v>
      </c>
      <c r="C225" s="5" t="s">
        <v>451</v>
      </c>
      <c r="D225" s="5" t="s">
        <v>566</v>
      </c>
      <c r="E225" s="40" t="s">
        <v>612</v>
      </c>
      <c r="F225" s="6">
        <v>55</v>
      </c>
      <c r="G225" s="5" t="s">
        <v>592</v>
      </c>
      <c r="H225" s="5" t="s">
        <v>80</v>
      </c>
      <c r="I225" s="5" t="s">
        <v>19</v>
      </c>
      <c r="J225" s="5">
        <v>22400000</v>
      </c>
      <c r="K225" s="13" t="s">
        <v>10</v>
      </c>
      <c r="L225" s="5" t="s">
        <v>610</v>
      </c>
    </row>
    <row r="226" spans="1:12" ht="101.25" x14ac:dyDescent="0.25">
      <c r="A226" s="5"/>
      <c r="B226" s="5">
        <v>226</v>
      </c>
      <c r="C226" s="5" t="s">
        <v>567</v>
      </c>
      <c r="D226" s="5" t="s">
        <v>568</v>
      </c>
      <c r="E226" s="40" t="s">
        <v>790</v>
      </c>
      <c r="F226" s="6">
        <v>1750</v>
      </c>
      <c r="G226" s="5" t="s">
        <v>592</v>
      </c>
      <c r="H226" s="5" t="s">
        <v>80</v>
      </c>
      <c r="I226" s="5" t="s">
        <v>19</v>
      </c>
      <c r="J226" s="5">
        <v>79300000</v>
      </c>
      <c r="K226" s="13" t="s">
        <v>281</v>
      </c>
      <c r="L226" s="5" t="s">
        <v>611</v>
      </c>
    </row>
    <row r="227" spans="1:12" ht="45" x14ac:dyDescent="0.25">
      <c r="A227" s="5"/>
      <c r="B227" s="1">
        <v>227</v>
      </c>
      <c r="C227" s="5" t="s">
        <v>189</v>
      </c>
      <c r="D227" s="5" t="s">
        <v>190</v>
      </c>
      <c r="E227" s="40">
        <v>150</v>
      </c>
      <c r="F227" s="6">
        <v>150</v>
      </c>
      <c r="G227" s="5" t="s">
        <v>592</v>
      </c>
      <c r="H227" s="5" t="s">
        <v>80</v>
      </c>
      <c r="I227" s="5" t="s">
        <v>19</v>
      </c>
      <c r="J227" s="5">
        <v>15300000</v>
      </c>
      <c r="K227" s="13" t="s">
        <v>10</v>
      </c>
      <c r="L227" s="5" t="s">
        <v>593</v>
      </c>
    </row>
    <row r="228" spans="1:12" ht="101.25" x14ac:dyDescent="0.25">
      <c r="A228" s="5"/>
      <c r="B228" s="1">
        <v>228</v>
      </c>
      <c r="C228" s="5" t="s">
        <v>569</v>
      </c>
      <c r="D228" s="5" t="s">
        <v>570</v>
      </c>
      <c r="E228" s="40">
        <f>580000+1218020+770580</f>
        <v>2568600</v>
      </c>
      <c r="F228" s="6">
        <v>2568600</v>
      </c>
      <c r="G228" s="5" t="s">
        <v>592</v>
      </c>
      <c r="H228" s="5" t="s">
        <v>80</v>
      </c>
      <c r="I228" s="5" t="s">
        <v>19</v>
      </c>
      <c r="J228" s="5">
        <v>79300000</v>
      </c>
      <c r="K228" s="13" t="s">
        <v>588</v>
      </c>
      <c r="L228" s="5" t="s">
        <v>594</v>
      </c>
    </row>
    <row r="229" spans="1:12" ht="101.25" x14ac:dyDescent="0.25">
      <c r="A229" s="5"/>
      <c r="B229" s="5">
        <v>229</v>
      </c>
      <c r="C229" s="5" t="s">
        <v>571</v>
      </c>
      <c r="D229" s="5" t="s">
        <v>570</v>
      </c>
      <c r="E229" s="40">
        <f>553969+611953+511678</f>
        <v>1677600</v>
      </c>
      <c r="F229" s="6">
        <v>1677600</v>
      </c>
      <c r="G229" s="5" t="s">
        <v>592</v>
      </c>
      <c r="H229" s="5" t="s">
        <v>595</v>
      </c>
      <c r="I229" s="5" t="s">
        <v>19</v>
      </c>
      <c r="J229" s="5">
        <v>79300000</v>
      </c>
      <c r="K229" s="13" t="s">
        <v>588</v>
      </c>
      <c r="L229" s="5" t="s">
        <v>977</v>
      </c>
    </row>
    <row r="230" spans="1:12" ht="101.25" x14ac:dyDescent="0.25">
      <c r="A230" s="5"/>
      <c r="B230" s="5">
        <v>230</v>
      </c>
      <c r="C230" s="5" t="s">
        <v>572</v>
      </c>
      <c r="D230" s="5" t="s">
        <v>570</v>
      </c>
      <c r="E230" s="40">
        <f>144752.4+75507.12+60540.48</f>
        <v>280800</v>
      </c>
      <c r="F230" s="6">
        <v>280800</v>
      </c>
      <c r="G230" s="5" t="s">
        <v>592</v>
      </c>
      <c r="H230" s="5" t="s">
        <v>595</v>
      </c>
      <c r="I230" s="5" t="s">
        <v>19</v>
      </c>
      <c r="J230" s="5">
        <v>79300000</v>
      </c>
      <c r="K230" s="13" t="s">
        <v>588</v>
      </c>
      <c r="L230" s="5" t="s">
        <v>1201</v>
      </c>
    </row>
    <row r="231" spans="1:12" ht="101.25" x14ac:dyDescent="0.25">
      <c r="A231" s="5"/>
      <c r="B231" s="1">
        <v>231</v>
      </c>
      <c r="C231" s="5" t="s">
        <v>573</v>
      </c>
      <c r="D231" s="5" t="s">
        <v>574</v>
      </c>
      <c r="E231" s="40">
        <f>11892.78+11711.78</f>
        <v>23604.560000000001</v>
      </c>
      <c r="F231" s="6">
        <v>22912.2</v>
      </c>
      <c r="G231" s="5" t="s">
        <v>592</v>
      </c>
      <c r="H231" s="5" t="s">
        <v>595</v>
      </c>
      <c r="I231" s="5" t="s">
        <v>19</v>
      </c>
      <c r="J231" s="5">
        <v>39100000</v>
      </c>
      <c r="K231" s="13" t="s">
        <v>281</v>
      </c>
      <c r="L231" s="5" t="s">
        <v>767</v>
      </c>
    </row>
    <row r="232" spans="1:12" ht="22.5" x14ac:dyDescent="0.25">
      <c r="A232" s="5"/>
      <c r="B232" s="1">
        <v>232</v>
      </c>
      <c r="C232" s="5" t="s">
        <v>575</v>
      </c>
      <c r="D232" s="5" t="s">
        <v>576</v>
      </c>
      <c r="E232" s="52">
        <v>60275</v>
      </c>
      <c r="F232" s="6">
        <v>60275</v>
      </c>
      <c r="G232" s="5" t="s">
        <v>592</v>
      </c>
      <c r="H232" s="5" t="s">
        <v>595</v>
      </c>
      <c r="I232" s="5" t="s">
        <v>9</v>
      </c>
      <c r="J232" s="5">
        <v>18500000</v>
      </c>
      <c r="K232" s="20" t="s">
        <v>596</v>
      </c>
      <c r="L232" s="5"/>
    </row>
    <row r="233" spans="1:12" ht="45" x14ac:dyDescent="0.25">
      <c r="A233" s="5"/>
      <c r="B233" s="5">
        <v>233</v>
      </c>
      <c r="C233" s="5" t="s">
        <v>613</v>
      </c>
      <c r="D233" s="5" t="s">
        <v>84</v>
      </c>
      <c r="E233" s="40" t="s">
        <v>772</v>
      </c>
      <c r="F233" s="6">
        <v>1280</v>
      </c>
      <c r="G233" s="5" t="s">
        <v>677</v>
      </c>
      <c r="H233" s="5" t="s">
        <v>80</v>
      </c>
      <c r="I233" s="5" t="s">
        <v>19</v>
      </c>
      <c r="J233" s="5">
        <v>55100000</v>
      </c>
      <c r="K233" s="11" t="s">
        <v>3</v>
      </c>
      <c r="L233" s="5" t="s">
        <v>678</v>
      </c>
    </row>
    <row r="234" spans="1:12" ht="45" x14ac:dyDescent="0.25">
      <c r="A234" s="5"/>
      <c r="B234" s="1">
        <v>236</v>
      </c>
      <c r="C234" s="5" t="s">
        <v>615</v>
      </c>
      <c r="D234" s="5" t="s">
        <v>82</v>
      </c>
      <c r="E234" s="40" t="s">
        <v>773</v>
      </c>
      <c r="F234" s="6">
        <v>2480</v>
      </c>
      <c r="G234" s="5" t="s">
        <v>677</v>
      </c>
      <c r="H234" s="5" t="s">
        <v>80</v>
      </c>
      <c r="I234" s="5" t="s">
        <v>19</v>
      </c>
      <c r="J234" s="5">
        <v>63500000</v>
      </c>
      <c r="K234" s="11" t="s">
        <v>3</v>
      </c>
      <c r="L234" s="5" t="s">
        <v>679</v>
      </c>
    </row>
    <row r="235" spans="1:12" ht="45" x14ac:dyDescent="0.25">
      <c r="A235" s="5"/>
      <c r="B235" s="5">
        <v>237</v>
      </c>
      <c r="C235" s="5" t="s">
        <v>454</v>
      </c>
      <c r="D235" s="5" t="s">
        <v>563</v>
      </c>
      <c r="E235" s="40" t="s">
        <v>769</v>
      </c>
      <c r="F235" s="6">
        <v>2800</v>
      </c>
      <c r="G235" s="5" t="s">
        <v>677</v>
      </c>
      <c r="H235" s="5" t="s">
        <v>80</v>
      </c>
      <c r="I235" s="5" t="s">
        <v>19</v>
      </c>
      <c r="J235" s="5">
        <v>60100000</v>
      </c>
      <c r="K235" s="11" t="s">
        <v>3</v>
      </c>
      <c r="L235" s="5" t="s">
        <v>680</v>
      </c>
    </row>
    <row r="236" spans="1:12" x14ac:dyDescent="0.25">
      <c r="A236" s="5"/>
      <c r="B236" s="5">
        <v>238</v>
      </c>
      <c r="C236" s="5" t="s">
        <v>616</v>
      </c>
      <c r="D236" s="5" t="s">
        <v>617</v>
      </c>
      <c r="E236" s="42"/>
      <c r="F236" s="6">
        <v>2690</v>
      </c>
      <c r="G236" s="5" t="s">
        <v>677</v>
      </c>
      <c r="H236" s="5" t="s">
        <v>26</v>
      </c>
      <c r="I236" s="5" t="s">
        <v>9</v>
      </c>
      <c r="J236" s="5">
        <v>50100000</v>
      </c>
      <c r="K236" s="5" t="s">
        <v>681</v>
      </c>
      <c r="L236" s="5"/>
    </row>
    <row r="237" spans="1:12" ht="101.25" x14ac:dyDescent="0.25">
      <c r="A237" s="5"/>
      <c r="B237" s="1">
        <v>239</v>
      </c>
      <c r="C237" s="5" t="s">
        <v>618</v>
      </c>
      <c r="D237" s="5" t="s">
        <v>619</v>
      </c>
      <c r="E237" s="40" t="s">
        <v>995</v>
      </c>
      <c r="F237" s="6">
        <v>29957.4</v>
      </c>
      <c r="G237" s="5" t="s">
        <v>677</v>
      </c>
      <c r="H237" s="5" t="s">
        <v>80</v>
      </c>
      <c r="I237" s="5" t="s">
        <v>19</v>
      </c>
      <c r="J237" s="5">
        <v>80500000</v>
      </c>
      <c r="K237" s="13" t="s">
        <v>588</v>
      </c>
      <c r="L237" s="5" t="s">
        <v>682</v>
      </c>
    </row>
    <row r="238" spans="1:12" ht="45" x14ac:dyDescent="0.25">
      <c r="A238" s="5"/>
      <c r="B238" s="5">
        <v>241</v>
      </c>
      <c r="C238" s="5" t="s">
        <v>562</v>
      </c>
      <c r="D238" s="5" t="s">
        <v>563</v>
      </c>
      <c r="E238" s="40" t="s">
        <v>768</v>
      </c>
      <c r="F238" s="6">
        <v>4740</v>
      </c>
      <c r="G238" s="5" t="s">
        <v>677</v>
      </c>
      <c r="H238" s="5" t="s">
        <v>80</v>
      </c>
      <c r="I238" s="5" t="s">
        <v>19</v>
      </c>
      <c r="J238" s="5">
        <v>60100000</v>
      </c>
      <c r="K238" s="11" t="s">
        <v>3</v>
      </c>
      <c r="L238" s="5" t="s">
        <v>684</v>
      </c>
    </row>
    <row r="239" spans="1:12" ht="45" x14ac:dyDescent="0.25">
      <c r="A239" s="5"/>
      <c r="B239" s="5">
        <v>242</v>
      </c>
      <c r="C239" s="5" t="s">
        <v>272</v>
      </c>
      <c r="D239" s="5" t="s">
        <v>563</v>
      </c>
      <c r="E239" s="40" t="s">
        <v>770</v>
      </c>
      <c r="F239" s="6">
        <v>570</v>
      </c>
      <c r="G239" s="5" t="s">
        <v>677</v>
      </c>
      <c r="H239" s="5" t="s">
        <v>80</v>
      </c>
      <c r="I239" s="5" t="s">
        <v>19</v>
      </c>
      <c r="J239" s="5">
        <v>60100000</v>
      </c>
      <c r="K239" s="11" t="s">
        <v>3</v>
      </c>
      <c r="L239" s="5" t="s">
        <v>685</v>
      </c>
    </row>
    <row r="240" spans="1:12" ht="45" x14ac:dyDescent="0.25">
      <c r="A240" s="5"/>
      <c r="B240" s="1">
        <v>243</v>
      </c>
      <c r="C240" s="5" t="s">
        <v>272</v>
      </c>
      <c r="D240" s="5" t="s">
        <v>82</v>
      </c>
      <c r="E240" s="40" t="s">
        <v>770</v>
      </c>
      <c r="F240" s="6">
        <v>570</v>
      </c>
      <c r="G240" s="5" t="s">
        <v>677</v>
      </c>
      <c r="H240" s="5" t="s">
        <v>80</v>
      </c>
      <c r="I240" s="5" t="s">
        <v>19</v>
      </c>
      <c r="J240" s="5">
        <v>63500000</v>
      </c>
      <c r="K240" s="11" t="s">
        <v>3</v>
      </c>
      <c r="L240" s="5" t="s">
        <v>686</v>
      </c>
    </row>
    <row r="241" spans="1:12" ht="67.5" customHeight="1" x14ac:dyDescent="0.25">
      <c r="A241" s="5"/>
      <c r="B241" s="1">
        <v>244</v>
      </c>
      <c r="C241" s="5" t="s">
        <v>620</v>
      </c>
      <c r="D241" s="5" t="s">
        <v>82</v>
      </c>
      <c r="E241" s="40" t="s">
        <v>762</v>
      </c>
      <c r="F241" s="6">
        <v>1875</v>
      </c>
      <c r="G241" s="5" t="s">
        <v>677</v>
      </c>
      <c r="H241" s="5" t="s">
        <v>80</v>
      </c>
      <c r="I241" s="5" t="s">
        <v>19</v>
      </c>
      <c r="J241" s="5">
        <v>63500000</v>
      </c>
      <c r="K241" s="11" t="s">
        <v>3</v>
      </c>
      <c r="L241" s="5" t="s">
        <v>687</v>
      </c>
    </row>
    <row r="242" spans="1:12" ht="45" x14ac:dyDescent="0.25">
      <c r="A242" s="5"/>
      <c r="B242" s="5">
        <v>245</v>
      </c>
      <c r="C242" s="5" t="s">
        <v>621</v>
      </c>
      <c r="D242" s="5" t="s">
        <v>88</v>
      </c>
      <c r="E242" s="40" t="s">
        <v>957</v>
      </c>
      <c r="F242" s="6">
        <v>4932</v>
      </c>
      <c r="G242" s="5" t="s">
        <v>677</v>
      </c>
      <c r="H242" s="5" t="s">
        <v>80</v>
      </c>
      <c r="I242" s="5" t="s">
        <v>19</v>
      </c>
      <c r="J242" s="5">
        <v>55100000</v>
      </c>
      <c r="K242" s="11" t="s">
        <v>3</v>
      </c>
      <c r="L242" s="5" t="s">
        <v>688</v>
      </c>
    </row>
    <row r="243" spans="1:12" ht="45" x14ac:dyDescent="0.25">
      <c r="A243" s="5"/>
      <c r="B243" s="5">
        <v>246</v>
      </c>
      <c r="C243" s="5" t="s">
        <v>622</v>
      </c>
      <c r="D243" s="5" t="s">
        <v>623</v>
      </c>
      <c r="E243" s="40" t="s">
        <v>774</v>
      </c>
      <c r="F243" s="6">
        <v>4400</v>
      </c>
      <c r="G243" s="5" t="s">
        <v>677</v>
      </c>
      <c r="H243" s="5" t="s">
        <v>80</v>
      </c>
      <c r="I243" s="5" t="s">
        <v>19</v>
      </c>
      <c r="J243" s="5">
        <v>3100000</v>
      </c>
      <c r="K243" s="13" t="s">
        <v>10</v>
      </c>
      <c r="L243" s="5" t="s">
        <v>689</v>
      </c>
    </row>
    <row r="244" spans="1:12" ht="101.25" x14ac:dyDescent="0.25">
      <c r="A244" s="5"/>
      <c r="B244" s="1">
        <v>247</v>
      </c>
      <c r="C244" s="5" t="s">
        <v>624</v>
      </c>
      <c r="D244" s="5" t="s">
        <v>625</v>
      </c>
      <c r="E244" s="40" t="s">
        <v>780</v>
      </c>
      <c r="F244" s="6">
        <v>101920.73</v>
      </c>
      <c r="G244" s="5" t="s">
        <v>677</v>
      </c>
      <c r="H244" s="5" t="s">
        <v>690</v>
      </c>
      <c r="I244" s="5" t="s">
        <v>19</v>
      </c>
      <c r="J244" s="5">
        <v>79900000</v>
      </c>
      <c r="K244" s="13" t="s">
        <v>691</v>
      </c>
      <c r="L244" s="5" t="s">
        <v>692</v>
      </c>
    </row>
    <row r="245" spans="1:12" ht="45" x14ac:dyDescent="0.25">
      <c r="A245" s="5"/>
      <c r="B245" s="1">
        <v>248</v>
      </c>
      <c r="C245" s="5" t="s">
        <v>626</v>
      </c>
      <c r="D245" s="5" t="s">
        <v>88</v>
      </c>
      <c r="E245" s="40">
        <v>598</v>
      </c>
      <c r="F245" s="6">
        <v>700</v>
      </c>
      <c r="G245" s="5" t="s">
        <v>693</v>
      </c>
      <c r="H245" s="5" t="s">
        <v>80</v>
      </c>
      <c r="I245" s="5" t="s">
        <v>19</v>
      </c>
      <c r="J245" s="5">
        <v>55300000</v>
      </c>
      <c r="K245" s="11" t="s">
        <v>3</v>
      </c>
      <c r="L245" s="5" t="s">
        <v>694</v>
      </c>
    </row>
    <row r="246" spans="1:12" s="23" customFormat="1" ht="33.75" x14ac:dyDescent="0.25">
      <c r="A246" s="5"/>
      <c r="B246" s="5">
        <v>249</v>
      </c>
      <c r="C246" s="5" t="s">
        <v>312</v>
      </c>
      <c r="D246" s="5" t="s">
        <v>627</v>
      </c>
      <c r="E246" s="40">
        <f>1466.48+1531.2+1490.7+1548.11+1638.6+1466.46</f>
        <v>9141.5499999999993</v>
      </c>
      <c r="F246" s="6">
        <v>25000</v>
      </c>
      <c r="G246" s="5" t="s">
        <v>695</v>
      </c>
      <c r="H246" s="5" t="s">
        <v>696</v>
      </c>
      <c r="I246" s="5" t="s">
        <v>8</v>
      </c>
      <c r="J246" s="5">
        <v>64200000</v>
      </c>
      <c r="K246" s="13"/>
      <c r="L246" s="5" t="s">
        <v>697</v>
      </c>
    </row>
    <row r="247" spans="1:12" ht="101.25" x14ac:dyDescent="0.25">
      <c r="A247" s="5"/>
      <c r="B247" s="5">
        <v>250</v>
      </c>
      <c r="C247" s="5" t="s">
        <v>628</v>
      </c>
      <c r="D247" s="5" t="s">
        <v>629</v>
      </c>
      <c r="E247" s="40" t="s">
        <v>1520</v>
      </c>
      <c r="F247" s="6">
        <v>31622.400000000001</v>
      </c>
      <c r="G247" s="5" t="s">
        <v>695</v>
      </c>
      <c r="H247" s="5" t="s">
        <v>80</v>
      </c>
      <c r="I247" s="5" t="s">
        <v>19</v>
      </c>
      <c r="J247" s="5">
        <v>80500000</v>
      </c>
      <c r="K247" s="13" t="s">
        <v>588</v>
      </c>
      <c r="L247" s="5" t="s">
        <v>698</v>
      </c>
    </row>
    <row r="248" spans="1:12" ht="45.75" x14ac:dyDescent="0.25">
      <c r="A248" s="5"/>
      <c r="B248" s="1">
        <v>252</v>
      </c>
      <c r="C248" s="5" t="s">
        <v>631</v>
      </c>
      <c r="D248" s="5" t="s">
        <v>632</v>
      </c>
      <c r="E248" s="40">
        <f>80*6</f>
        <v>480</v>
      </c>
      <c r="F248" s="6">
        <v>720</v>
      </c>
      <c r="G248" s="5" t="s">
        <v>699</v>
      </c>
      <c r="H248" s="5" t="s">
        <v>26</v>
      </c>
      <c r="I248" s="5" t="s">
        <v>19</v>
      </c>
      <c r="J248" s="5">
        <v>90900000</v>
      </c>
      <c r="K248" s="11" t="s">
        <v>7</v>
      </c>
      <c r="L248" s="5" t="s">
        <v>700</v>
      </c>
    </row>
    <row r="249" spans="1:12" ht="45" x14ac:dyDescent="0.25">
      <c r="A249" s="5"/>
      <c r="B249" s="5">
        <v>253</v>
      </c>
      <c r="C249" s="5" t="s">
        <v>271</v>
      </c>
      <c r="D249" s="5" t="s">
        <v>88</v>
      </c>
      <c r="E249" s="40" t="s">
        <v>771</v>
      </c>
      <c r="F249" s="6">
        <v>400</v>
      </c>
      <c r="G249" s="5" t="s">
        <v>699</v>
      </c>
      <c r="H249" s="5" t="s">
        <v>80</v>
      </c>
      <c r="I249" s="5" t="s">
        <v>19</v>
      </c>
      <c r="J249" s="5">
        <v>55300000</v>
      </c>
      <c r="K249" s="11" t="s">
        <v>3</v>
      </c>
      <c r="L249" s="5" t="s">
        <v>701</v>
      </c>
    </row>
    <row r="250" spans="1:12" ht="45" x14ac:dyDescent="0.25">
      <c r="A250" s="5"/>
      <c r="B250" s="5">
        <v>254</v>
      </c>
      <c r="C250" s="5" t="s">
        <v>633</v>
      </c>
      <c r="D250" s="5" t="s">
        <v>634</v>
      </c>
      <c r="E250" s="38">
        <f>5*90+180</f>
        <v>630</v>
      </c>
      <c r="F250" s="6">
        <v>990</v>
      </c>
      <c r="G250" s="5" t="s">
        <v>699</v>
      </c>
      <c r="H250" s="5" t="s">
        <v>26</v>
      </c>
      <c r="I250" s="5" t="s">
        <v>19</v>
      </c>
      <c r="J250" s="5">
        <v>15300000</v>
      </c>
      <c r="K250" s="13" t="s">
        <v>10</v>
      </c>
      <c r="L250" s="5" t="s">
        <v>702</v>
      </c>
    </row>
    <row r="251" spans="1:12" ht="45" x14ac:dyDescent="0.25">
      <c r="A251" s="5"/>
      <c r="B251" s="1">
        <v>255</v>
      </c>
      <c r="C251" s="5" t="s">
        <v>620</v>
      </c>
      <c r="D251" s="5" t="s">
        <v>82</v>
      </c>
      <c r="E251" s="40" t="s">
        <v>786</v>
      </c>
      <c r="F251" s="6">
        <v>1731.25</v>
      </c>
      <c r="G251" s="5" t="s">
        <v>703</v>
      </c>
      <c r="H251" s="5" t="s">
        <v>80</v>
      </c>
      <c r="I251" s="5" t="s">
        <v>19</v>
      </c>
      <c r="J251" s="5">
        <v>63500000</v>
      </c>
      <c r="K251" s="11" t="s">
        <v>3</v>
      </c>
      <c r="L251" s="5" t="s">
        <v>704</v>
      </c>
    </row>
    <row r="252" spans="1:12" ht="45" x14ac:dyDescent="0.25">
      <c r="A252" s="5"/>
      <c r="B252" s="1">
        <v>256</v>
      </c>
      <c r="C252" s="5" t="s">
        <v>85</v>
      </c>
      <c r="D252" s="5" t="s">
        <v>563</v>
      </c>
      <c r="E252" s="40" t="s">
        <v>781</v>
      </c>
      <c r="F252" s="6">
        <v>2300</v>
      </c>
      <c r="G252" s="5" t="s">
        <v>703</v>
      </c>
      <c r="H252" s="5" t="s">
        <v>80</v>
      </c>
      <c r="I252" s="5" t="s">
        <v>19</v>
      </c>
      <c r="J252" s="5">
        <v>60100000</v>
      </c>
      <c r="K252" s="11" t="s">
        <v>3</v>
      </c>
      <c r="L252" s="5" t="s">
        <v>705</v>
      </c>
    </row>
    <row r="253" spans="1:12" ht="45" x14ac:dyDescent="0.25">
      <c r="A253" s="5"/>
      <c r="B253" s="5">
        <v>257</v>
      </c>
      <c r="C253" s="5" t="s">
        <v>635</v>
      </c>
      <c r="D253" s="5" t="s">
        <v>84</v>
      </c>
      <c r="E253" s="40">
        <v>740</v>
      </c>
      <c r="F253" s="6">
        <v>740</v>
      </c>
      <c r="G253" s="5" t="s">
        <v>703</v>
      </c>
      <c r="H253" s="5" t="s">
        <v>80</v>
      </c>
      <c r="I253" s="5" t="s">
        <v>19</v>
      </c>
      <c r="J253" s="5">
        <v>55100000</v>
      </c>
      <c r="K253" s="11" t="s">
        <v>3</v>
      </c>
      <c r="L253" s="5" t="s">
        <v>706</v>
      </c>
    </row>
    <row r="254" spans="1:12" ht="45" x14ac:dyDescent="0.25">
      <c r="A254" s="5"/>
      <c r="B254" s="5">
        <v>258</v>
      </c>
      <c r="C254" s="5" t="s">
        <v>626</v>
      </c>
      <c r="D254" s="5" t="s">
        <v>84</v>
      </c>
      <c r="E254" s="40">
        <v>923.88</v>
      </c>
      <c r="F254" s="6">
        <v>946.2</v>
      </c>
      <c r="G254" s="5" t="s">
        <v>703</v>
      </c>
      <c r="H254" s="5" t="s">
        <v>80</v>
      </c>
      <c r="I254" s="5" t="s">
        <v>19</v>
      </c>
      <c r="J254" s="5">
        <v>55100000</v>
      </c>
      <c r="K254" s="11" t="s">
        <v>3</v>
      </c>
      <c r="L254" s="5" t="s">
        <v>707</v>
      </c>
    </row>
    <row r="255" spans="1:12" ht="45" x14ac:dyDescent="0.25">
      <c r="A255" s="5"/>
      <c r="B255" s="1">
        <v>259</v>
      </c>
      <c r="C255" s="5" t="s">
        <v>562</v>
      </c>
      <c r="D255" s="5" t="s">
        <v>563</v>
      </c>
      <c r="E255" s="40" t="s">
        <v>782</v>
      </c>
      <c r="F255" s="6">
        <v>34820</v>
      </c>
      <c r="G255" s="5" t="s">
        <v>703</v>
      </c>
      <c r="H255" s="5" t="s">
        <v>80</v>
      </c>
      <c r="I255" s="5" t="s">
        <v>19</v>
      </c>
      <c r="J255" s="5">
        <v>60100000</v>
      </c>
      <c r="K255" s="11" t="s">
        <v>3</v>
      </c>
      <c r="L255" s="5" t="s">
        <v>708</v>
      </c>
    </row>
    <row r="256" spans="1:12" ht="45" x14ac:dyDescent="0.25">
      <c r="A256" s="5"/>
      <c r="B256" s="1">
        <v>260</v>
      </c>
      <c r="C256" s="5" t="s">
        <v>636</v>
      </c>
      <c r="D256" s="5" t="s">
        <v>103</v>
      </c>
      <c r="E256" s="40">
        <v>455</v>
      </c>
      <c r="F256" s="6">
        <v>455</v>
      </c>
      <c r="G256" s="5" t="s">
        <v>703</v>
      </c>
      <c r="H256" s="5" t="s">
        <v>80</v>
      </c>
      <c r="I256" s="5" t="s">
        <v>19</v>
      </c>
      <c r="J256" s="5">
        <v>60400000</v>
      </c>
      <c r="K256" s="11" t="s">
        <v>3</v>
      </c>
      <c r="L256" s="5" t="s">
        <v>709</v>
      </c>
    </row>
    <row r="257" spans="1:12" ht="45" x14ac:dyDescent="0.25">
      <c r="A257" s="5"/>
      <c r="B257" s="5">
        <v>261</v>
      </c>
      <c r="C257" s="5" t="s">
        <v>408</v>
      </c>
      <c r="D257" s="5" t="s">
        <v>88</v>
      </c>
      <c r="E257" s="40">
        <v>300</v>
      </c>
      <c r="F257" s="6">
        <v>350</v>
      </c>
      <c r="G257" s="5" t="s">
        <v>703</v>
      </c>
      <c r="H257" s="5" t="s">
        <v>80</v>
      </c>
      <c r="I257" s="5" t="s">
        <v>19</v>
      </c>
      <c r="J257" s="5">
        <v>55300000</v>
      </c>
      <c r="K257" s="11" t="s">
        <v>3</v>
      </c>
      <c r="L257" s="5" t="s">
        <v>710</v>
      </c>
    </row>
    <row r="258" spans="1:12" ht="45" x14ac:dyDescent="0.25">
      <c r="A258" s="5"/>
      <c r="B258" s="5">
        <v>262</v>
      </c>
      <c r="C258" s="5" t="s">
        <v>637</v>
      </c>
      <c r="D258" s="5" t="s">
        <v>88</v>
      </c>
      <c r="E258" s="40">
        <v>300</v>
      </c>
      <c r="F258" s="6">
        <v>350</v>
      </c>
      <c r="G258" s="5" t="s">
        <v>703</v>
      </c>
      <c r="H258" s="5" t="s">
        <v>80</v>
      </c>
      <c r="I258" s="5" t="s">
        <v>19</v>
      </c>
      <c r="J258" s="5">
        <v>55300000</v>
      </c>
      <c r="K258" s="11" t="s">
        <v>3</v>
      </c>
      <c r="L258" s="5" t="s">
        <v>711</v>
      </c>
    </row>
    <row r="259" spans="1:12" ht="45" x14ac:dyDescent="0.25">
      <c r="A259" s="5"/>
      <c r="B259" s="1">
        <v>263</v>
      </c>
      <c r="C259" s="5" t="s">
        <v>408</v>
      </c>
      <c r="D259" s="5" t="s">
        <v>84</v>
      </c>
      <c r="E259" s="40">
        <v>770</v>
      </c>
      <c r="F259" s="6">
        <v>770</v>
      </c>
      <c r="G259" s="5" t="s">
        <v>703</v>
      </c>
      <c r="H259" s="5" t="s">
        <v>80</v>
      </c>
      <c r="I259" s="5" t="s">
        <v>19</v>
      </c>
      <c r="J259" s="5">
        <v>55100000</v>
      </c>
      <c r="K259" s="11" t="s">
        <v>3</v>
      </c>
      <c r="L259" s="5" t="s">
        <v>712</v>
      </c>
    </row>
    <row r="260" spans="1:12" ht="101.25" x14ac:dyDescent="0.25">
      <c r="A260" s="5"/>
      <c r="B260" s="1">
        <v>264</v>
      </c>
      <c r="C260" s="5" t="s">
        <v>638</v>
      </c>
      <c r="D260" s="5" t="s">
        <v>639</v>
      </c>
      <c r="E260" s="40" t="s">
        <v>775</v>
      </c>
      <c r="F260" s="6">
        <v>50000</v>
      </c>
      <c r="G260" s="5" t="s">
        <v>703</v>
      </c>
      <c r="H260" s="5" t="s">
        <v>80</v>
      </c>
      <c r="I260" s="5" t="s">
        <v>19</v>
      </c>
      <c r="J260" s="5">
        <v>79300000</v>
      </c>
      <c r="K260" s="13" t="s">
        <v>281</v>
      </c>
      <c r="L260" s="5" t="s">
        <v>713</v>
      </c>
    </row>
    <row r="261" spans="1:12" ht="22.5" x14ac:dyDescent="0.25">
      <c r="A261" s="5"/>
      <c r="B261" s="5">
        <v>265</v>
      </c>
      <c r="C261" s="5" t="s">
        <v>640</v>
      </c>
      <c r="D261" s="5" t="s">
        <v>641</v>
      </c>
      <c r="E261" s="38">
        <f>28+645+1080+1080+216+648+11+195+3411+3840+399+4487+1658+1600+800+1160+1380+400+290+165+14+150+14</f>
        <v>23671</v>
      </c>
      <c r="F261" s="6">
        <v>24762</v>
      </c>
      <c r="G261" s="5" t="s">
        <v>703</v>
      </c>
      <c r="H261" s="5" t="s">
        <v>26</v>
      </c>
      <c r="I261" s="5" t="s">
        <v>9</v>
      </c>
      <c r="J261" s="5">
        <v>79800000</v>
      </c>
      <c r="K261" s="11" t="s">
        <v>714</v>
      </c>
      <c r="L261" s="5"/>
    </row>
    <row r="262" spans="1:12" ht="101.25" x14ac:dyDescent="0.25">
      <c r="A262" s="5"/>
      <c r="B262" s="5">
        <v>266</v>
      </c>
      <c r="C262" s="5" t="s">
        <v>642</v>
      </c>
      <c r="D262" s="5" t="s">
        <v>643</v>
      </c>
      <c r="E262" s="40" t="s">
        <v>776</v>
      </c>
      <c r="F262" s="6">
        <v>4182</v>
      </c>
      <c r="G262" s="5" t="s">
        <v>703</v>
      </c>
      <c r="H262" s="5" t="s">
        <v>80</v>
      </c>
      <c r="I262" s="5" t="s">
        <v>19</v>
      </c>
      <c r="J262" s="5">
        <v>79300000</v>
      </c>
      <c r="K262" s="13" t="s">
        <v>281</v>
      </c>
      <c r="L262" s="5" t="s">
        <v>715</v>
      </c>
    </row>
    <row r="263" spans="1:12" ht="101.25" x14ac:dyDescent="0.25">
      <c r="A263" s="5"/>
      <c r="B263" s="1">
        <v>267</v>
      </c>
      <c r="C263" s="5" t="s">
        <v>644</v>
      </c>
      <c r="D263" s="5" t="s">
        <v>100</v>
      </c>
      <c r="E263" s="40" t="s">
        <v>2158</v>
      </c>
      <c r="F263" s="6">
        <v>191750</v>
      </c>
      <c r="G263" s="5" t="s">
        <v>703</v>
      </c>
      <c r="H263" s="5" t="s">
        <v>716</v>
      </c>
      <c r="I263" s="5" t="s">
        <v>19</v>
      </c>
      <c r="J263" s="5">
        <v>79300000</v>
      </c>
      <c r="K263" s="13" t="s">
        <v>588</v>
      </c>
      <c r="L263" s="5" t="s">
        <v>717</v>
      </c>
    </row>
    <row r="264" spans="1:12" ht="45" x14ac:dyDescent="0.25">
      <c r="A264" s="5"/>
      <c r="B264" s="1">
        <v>268</v>
      </c>
      <c r="C264" s="5" t="s">
        <v>645</v>
      </c>
      <c r="D264" s="5" t="s">
        <v>88</v>
      </c>
      <c r="E264" s="42"/>
      <c r="F264" s="6">
        <v>1000</v>
      </c>
      <c r="G264" s="5" t="s">
        <v>703</v>
      </c>
      <c r="H264" s="5" t="s">
        <v>80</v>
      </c>
      <c r="I264" s="5" t="s">
        <v>19</v>
      </c>
      <c r="J264" s="5">
        <v>55300000</v>
      </c>
      <c r="K264" s="11" t="s">
        <v>3</v>
      </c>
      <c r="L264" s="5" t="s">
        <v>718</v>
      </c>
    </row>
    <row r="265" spans="1:12" ht="45" x14ac:dyDescent="0.25">
      <c r="A265" s="5"/>
      <c r="B265" s="5">
        <v>269</v>
      </c>
      <c r="C265" s="5" t="s">
        <v>645</v>
      </c>
      <c r="D265" s="5" t="s">
        <v>84</v>
      </c>
      <c r="E265" s="40" t="s">
        <v>969</v>
      </c>
      <c r="F265" s="6">
        <v>36122.75</v>
      </c>
      <c r="G265" s="5" t="s">
        <v>703</v>
      </c>
      <c r="H265" s="5" t="s">
        <v>80</v>
      </c>
      <c r="I265" s="5" t="s">
        <v>19</v>
      </c>
      <c r="J265" s="5">
        <v>55100000</v>
      </c>
      <c r="K265" s="11" t="s">
        <v>3</v>
      </c>
      <c r="L265" s="5" t="s">
        <v>968</v>
      </c>
    </row>
    <row r="266" spans="1:12" ht="45" x14ac:dyDescent="0.25">
      <c r="A266" s="5"/>
      <c r="B266" s="5">
        <v>270</v>
      </c>
      <c r="C266" s="5" t="s">
        <v>102</v>
      </c>
      <c r="D266" s="5" t="s">
        <v>103</v>
      </c>
      <c r="E266" s="53">
        <v>794</v>
      </c>
      <c r="F266" s="6">
        <v>794</v>
      </c>
      <c r="G266" s="5" t="s">
        <v>703</v>
      </c>
      <c r="H266" s="5" t="s">
        <v>80</v>
      </c>
      <c r="I266" s="5" t="s">
        <v>19</v>
      </c>
      <c r="J266" s="5">
        <v>60400000</v>
      </c>
      <c r="K266" s="11" t="s">
        <v>3</v>
      </c>
      <c r="L266" s="5" t="s">
        <v>719</v>
      </c>
    </row>
    <row r="267" spans="1:12" ht="45" x14ac:dyDescent="0.25">
      <c r="A267" s="5"/>
      <c r="B267" s="1">
        <v>271</v>
      </c>
      <c r="C267" s="5" t="s">
        <v>646</v>
      </c>
      <c r="D267" s="5" t="s">
        <v>103</v>
      </c>
      <c r="E267" s="40" t="s">
        <v>787</v>
      </c>
      <c r="F267" s="6">
        <v>3742</v>
      </c>
      <c r="G267" s="5" t="s">
        <v>703</v>
      </c>
      <c r="H267" s="5" t="s">
        <v>80</v>
      </c>
      <c r="I267" s="5" t="s">
        <v>19</v>
      </c>
      <c r="J267" s="5">
        <v>60400000</v>
      </c>
      <c r="K267" s="11" t="s">
        <v>3</v>
      </c>
      <c r="L267" s="5" t="s">
        <v>720</v>
      </c>
    </row>
    <row r="268" spans="1:12" ht="45" x14ac:dyDescent="0.25">
      <c r="A268" s="5"/>
      <c r="B268" s="1">
        <v>272</v>
      </c>
      <c r="C268" s="5" t="s">
        <v>647</v>
      </c>
      <c r="D268" s="5" t="s">
        <v>103</v>
      </c>
      <c r="E268" s="40" t="s">
        <v>798</v>
      </c>
      <c r="F268" s="6">
        <v>2751.5</v>
      </c>
      <c r="G268" s="5" t="s">
        <v>703</v>
      </c>
      <c r="H268" s="5" t="s">
        <v>80</v>
      </c>
      <c r="I268" s="5" t="s">
        <v>19</v>
      </c>
      <c r="J268" s="5">
        <v>60400000</v>
      </c>
      <c r="K268" s="11" t="s">
        <v>3</v>
      </c>
      <c r="L268" s="5" t="s">
        <v>797</v>
      </c>
    </row>
    <row r="269" spans="1:12" ht="45" x14ac:dyDescent="0.25">
      <c r="A269" s="5"/>
      <c r="B269" s="5">
        <v>273</v>
      </c>
      <c r="C269" s="5" t="s">
        <v>102</v>
      </c>
      <c r="D269" s="5" t="s">
        <v>103</v>
      </c>
      <c r="E269" s="40" t="s">
        <v>804</v>
      </c>
      <c r="F269" s="6">
        <v>3000</v>
      </c>
      <c r="G269" s="5" t="s">
        <v>703</v>
      </c>
      <c r="H269" s="5" t="s">
        <v>80</v>
      </c>
      <c r="I269" s="5" t="s">
        <v>19</v>
      </c>
      <c r="J269" s="5">
        <v>60400000</v>
      </c>
      <c r="K269" s="11" t="s">
        <v>3</v>
      </c>
      <c r="L269" s="5" t="s">
        <v>721</v>
      </c>
    </row>
    <row r="270" spans="1:12" ht="45" x14ac:dyDescent="0.25">
      <c r="A270" s="5"/>
      <c r="B270" s="5">
        <v>274</v>
      </c>
      <c r="C270" s="5" t="s">
        <v>647</v>
      </c>
      <c r="D270" s="5" t="s">
        <v>103</v>
      </c>
      <c r="E270" s="40" t="s">
        <v>796</v>
      </c>
      <c r="F270" s="6">
        <v>5332</v>
      </c>
      <c r="G270" s="5" t="s">
        <v>703</v>
      </c>
      <c r="H270" s="5" t="s">
        <v>80</v>
      </c>
      <c r="I270" s="5" t="s">
        <v>19</v>
      </c>
      <c r="J270" s="5">
        <v>60400000</v>
      </c>
      <c r="K270" s="11" t="s">
        <v>3</v>
      </c>
      <c r="L270" s="5" t="s">
        <v>795</v>
      </c>
    </row>
    <row r="271" spans="1:12" ht="45" x14ac:dyDescent="0.25">
      <c r="A271" s="5"/>
      <c r="B271" s="1">
        <v>275</v>
      </c>
      <c r="C271" s="5" t="s">
        <v>102</v>
      </c>
      <c r="D271" s="5" t="s">
        <v>103</v>
      </c>
      <c r="E271" s="40" t="s">
        <v>793</v>
      </c>
      <c r="F271" s="6">
        <v>4410</v>
      </c>
      <c r="G271" s="5" t="s">
        <v>703</v>
      </c>
      <c r="H271" s="5" t="s">
        <v>80</v>
      </c>
      <c r="I271" s="5" t="s">
        <v>19</v>
      </c>
      <c r="J271" s="5">
        <v>60400000</v>
      </c>
      <c r="K271" s="11" t="s">
        <v>3</v>
      </c>
      <c r="L271" s="5" t="s">
        <v>722</v>
      </c>
    </row>
    <row r="272" spans="1:12" ht="45" x14ac:dyDescent="0.25">
      <c r="A272" s="5"/>
      <c r="B272" s="1">
        <v>276</v>
      </c>
      <c r="C272" s="5" t="s">
        <v>102</v>
      </c>
      <c r="D272" s="5" t="s">
        <v>103</v>
      </c>
      <c r="E272" s="40" t="s">
        <v>792</v>
      </c>
      <c r="F272" s="6">
        <v>7799.2</v>
      </c>
      <c r="G272" s="5" t="s">
        <v>703</v>
      </c>
      <c r="H272" s="5" t="s">
        <v>80</v>
      </c>
      <c r="I272" s="5" t="s">
        <v>19</v>
      </c>
      <c r="J272" s="5">
        <v>60400000</v>
      </c>
      <c r="K272" s="11" t="s">
        <v>3</v>
      </c>
      <c r="L272" s="5" t="s">
        <v>791</v>
      </c>
    </row>
    <row r="273" spans="1:246" ht="45" x14ac:dyDescent="0.25">
      <c r="A273" s="5"/>
      <c r="B273" s="5">
        <v>277</v>
      </c>
      <c r="C273" s="5" t="s">
        <v>102</v>
      </c>
      <c r="D273" s="5" t="s">
        <v>103</v>
      </c>
      <c r="E273" s="40" t="s">
        <v>805</v>
      </c>
      <c r="F273" s="6">
        <v>4050</v>
      </c>
      <c r="G273" s="5" t="s">
        <v>703</v>
      </c>
      <c r="H273" s="5" t="s">
        <v>80</v>
      </c>
      <c r="I273" s="5" t="s">
        <v>19</v>
      </c>
      <c r="J273" s="5">
        <v>60400000</v>
      </c>
      <c r="K273" s="11" t="s">
        <v>3</v>
      </c>
      <c r="L273" s="5" t="s">
        <v>723</v>
      </c>
    </row>
    <row r="274" spans="1:246" ht="45" x14ac:dyDescent="0.25">
      <c r="A274" s="5"/>
      <c r="B274" s="5">
        <v>278</v>
      </c>
      <c r="C274" s="5" t="s">
        <v>647</v>
      </c>
      <c r="D274" s="5" t="s">
        <v>103</v>
      </c>
      <c r="E274" s="40" t="s">
        <v>801</v>
      </c>
      <c r="F274" s="6">
        <v>1232.7</v>
      </c>
      <c r="G274" s="5" t="s">
        <v>703</v>
      </c>
      <c r="H274" s="5" t="s">
        <v>80</v>
      </c>
      <c r="I274" s="5" t="s">
        <v>19</v>
      </c>
      <c r="J274" s="5">
        <v>60400000</v>
      </c>
      <c r="K274" s="11" t="s">
        <v>3</v>
      </c>
      <c r="L274" s="5" t="s">
        <v>724</v>
      </c>
    </row>
    <row r="275" spans="1:246" ht="45" x14ac:dyDescent="0.25">
      <c r="A275" s="5"/>
      <c r="B275" s="1">
        <v>279</v>
      </c>
      <c r="C275" s="5" t="s">
        <v>102</v>
      </c>
      <c r="D275" s="5" t="s">
        <v>103</v>
      </c>
      <c r="E275" s="40" t="s">
        <v>794</v>
      </c>
      <c r="F275" s="6">
        <v>1230</v>
      </c>
      <c r="G275" s="5" t="s">
        <v>703</v>
      </c>
      <c r="H275" s="5" t="s">
        <v>80</v>
      </c>
      <c r="I275" s="5" t="s">
        <v>19</v>
      </c>
      <c r="J275" s="5">
        <v>60400000</v>
      </c>
      <c r="K275" s="11" t="s">
        <v>3</v>
      </c>
      <c r="L275" s="5" t="s">
        <v>725</v>
      </c>
    </row>
    <row r="276" spans="1:246" ht="45" x14ac:dyDescent="0.25">
      <c r="A276" s="5"/>
      <c r="B276" s="1">
        <v>280</v>
      </c>
      <c r="C276" s="5" t="s">
        <v>646</v>
      </c>
      <c r="D276" s="5" t="s">
        <v>103</v>
      </c>
      <c r="E276" s="40" t="s">
        <v>784</v>
      </c>
      <c r="F276" s="6">
        <v>3040</v>
      </c>
      <c r="G276" s="5" t="s">
        <v>703</v>
      </c>
      <c r="H276" s="5" t="s">
        <v>80</v>
      </c>
      <c r="I276" s="5" t="s">
        <v>19</v>
      </c>
      <c r="J276" s="5">
        <v>60400000</v>
      </c>
      <c r="K276" s="11" t="s">
        <v>3</v>
      </c>
      <c r="L276" s="5" t="s">
        <v>726</v>
      </c>
    </row>
    <row r="277" spans="1:246" ht="45" x14ac:dyDescent="0.25">
      <c r="A277" s="5"/>
      <c r="B277" s="5">
        <v>281</v>
      </c>
      <c r="C277" s="5" t="s">
        <v>647</v>
      </c>
      <c r="D277" s="5" t="s">
        <v>103</v>
      </c>
      <c r="E277" s="40" t="s">
        <v>800</v>
      </c>
      <c r="F277" s="6">
        <v>2812.5</v>
      </c>
      <c r="G277" s="5" t="s">
        <v>703</v>
      </c>
      <c r="H277" s="5" t="s">
        <v>80</v>
      </c>
      <c r="I277" s="5" t="s">
        <v>19</v>
      </c>
      <c r="J277" s="5">
        <v>60400000</v>
      </c>
      <c r="K277" s="11" t="s">
        <v>3</v>
      </c>
      <c r="L277" s="5" t="s">
        <v>799</v>
      </c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  <c r="FJ277" s="24"/>
      <c r="FK277" s="24"/>
      <c r="FL277" s="24"/>
      <c r="FM277" s="24"/>
      <c r="FN277" s="24"/>
      <c r="FO277" s="24"/>
      <c r="FP277" s="24"/>
      <c r="FQ277" s="24"/>
      <c r="FR277" s="24"/>
      <c r="FS277" s="24"/>
      <c r="FT277" s="24"/>
      <c r="FU277" s="24"/>
      <c r="FV277" s="24"/>
      <c r="FW277" s="24"/>
      <c r="FX277" s="24"/>
      <c r="FY277" s="24"/>
      <c r="FZ277" s="24"/>
      <c r="GA277" s="24"/>
      <c r="GB277" s="24"/>
      <c r="GC277" s="24"/>
      <c r="GD277" s="24"/>
      <c r="GE277" s="24"/>
      <c r="GF277" s="24"/>
      <c r="GG277" s="24"/>
      <c r="GH277" s="24"/>
      <c r="GI277" s="24"/>
      <c r="GJ277" s="24"/>
      <c r="GK277" s="24"/>
      <c r="GL277" s="24"/>
      <c r="GM277" s="24"/>
      <c r="GN277" s="24"/>
      <c r="GO277" s="24"/>
      <c r="GP277" s="24"/>
      <c r="GQ277" s="24"/>
      <c r="GR277" s="24"/>
      <c r="GS277" s="24"/>
      <c r="GT277" s="24"/>
      <c r="GU277" s="24"/>
      <c r="GV277" s="24"/>
      <c r="GW277" s="24"/>
      <c r="GX277" s="24"/>
      <c r="GY277" s="24"/>
      <c r="GZ277" s="24"/>
      <c r="HA277" s="24"/>
      <c r="HB277" s="24"/>
      <c r="HC277" s="24"/>
      <c r="HD277" s="24"/>
      <c r="HE277" s="24"/>
      <c r="HF277" s="24"/>
      <c r="HG277" s="24"/>
      <c r="HH277" s="24"/>
      <c r="HI277" s="24"/>
      <c r="HJ277" s="24"/>
      <c r="HK277" s="24"/>
      <c r="HL277" s="24"/>
      <c r="HM277" s="24"/>
      <c r="HN277" s="24"/>
      <c r="HO277" s="24"/>
      <c r="HP277" s="24"/>
      <c r="HQ277" s="24"/>
      <c r="HR277" s="24"/>
      <c r="HS277" s="24"/>
      <c r="HT277" s="24"/>
      <c r="HU277" s="24"/>
      <c r="HV277" s="24"/>
      <c r="HW277" s="24"/>
      <c r="HX277" s="24"/>
      <c r="HY277" s="24"/>
      <c r="HZ277" s="24"/>
      <c r="IA277" s="24"/>
      <c r="IB277" s="24"/>
      <c r="IC277" s="24"/>
      <c r="ID277" s="24"/>
      <c r="IE277" s="24"/>
      <c r="IF277" s="24"/>
      <c r="IG277" s="24"/>
      <c r="IH277" s="24"/>
      <c r="II277" s="24"/>
      <c r="IJ277" s="24"/>
      <c r="IK277" s="24"/>
      <c r="IL277" s="24"/>
    </row>
    <row r="278" spans="1:246" ht="45" x14ac:dyDescent="0.25">
      <c r="A278" s="5"/>
      <c r="B278" s="5">
        <v>282</v>
      </c>
      <c r="C278" s="5" t="s">
        <v>646</v>
      </c>
      <c r="D278" s="5" t="s">
        <v>103</v>
      </c>
      <c r="E278" s="40" t="s">
        <v>788</v>
      </c>
      <c r="F278" s="6">
        <v>2876</v>
      </c>
      <c r="G278" s="5" t="s">
        <v>703</v>
      </c>
      <c r="H278" s="5" t="s">
        <v>80</v>
      </c>
      <c r="I278" s="5" t="s">
        <v>19</v>
      </c>
      <c r="J278" s="5">
        <v>60400000</v>
      </c>
      <c r="K278" s="11" t="s">
        <v>3</v>
      </c>
      <c r="L278" s="5" t="s">
        <v>727</v>
      </c>
    </row>
    <row r="279" spans="1:246" ht="45" x14ac:dyDescent="0.25">
      <c r="A279" s="5"/>
      <c r="B279" s="1">
        <v>283</v>
      </c>
      <c r="C279" s="5" t="s">
        <v>647</v>
      </c>
      <c r="D279" s="5" t="s">
        <v>103</v>
      </c>
      <c r="E279" s="40" t="s">
        <v>803</v>
      </c>
      <c r="F279" s="6">
        <v>4518.7</v>
      </c>
      <c r="G279" s="5" t="s">
        <v>703</v>
      </c>
      <c r="H279" s="5" t="s">
        <v>80</v>
      </c>
      <c r="I279" s="5" t="s">
        <v>19</v>
      </c>
      <c r="J279" s="5">
        <v>60400000</v>
      </c>
      <c r="K279" s="11" t="s">
        <v>3</v>
      </c>
      <c r="L279" s="5" t="s">
        <v>802</v>
      </c>
    </row>
    <row r="280" spans="1:246" ht="45" x14ac:dyDescent="0.25">
      <c r="A280" s="5"/>
      <c r="B280" s="1">
        <v>284</v>
      </c>
      <c r="C280" s="5" t="s">
        <v>454</v>
      </c>
      <c r="D280" s="5" t="s">
        <v>563</v>
      </c>
      <c r="E280" s="40" t="s">
        <v>965</v>
      </c>
      <c r="F280" s="6">
        <v>3000</v>
      </c>
      <c r="G280" s="5" t="s">
        <v>728</v>
      </c>
      <c r="H280" s="5" t="s">
        <v>80</v>
      </c>
      <c r="I280" s="5" t="s">
        <v>19</v>
      </c>
      <c r="J280" s="5">
        <v>60100000</v>
      </c>
      <c r="K280" s="11" t="s">
        <v>3</v>
      </c>
      <c r="L280" s="5" t="s">
        <v>729</v>
      </c>
    </row>
    <row r="281" spans="1:246" ht="45" x14ac:dyDescent="0.25">
      <c r="A281" s="5"/>
      <c r="B281" s="5">
        <v>285</v>
      </c>
      <c r="C281" s="5" t="s">
        <v>454</v>
      </c>
      <c r="D281" s="5" t="s">
        <v>82</v>
      </c>
      <c r="E281" s="40" t="s">
        <v>958</v>
      </c>
      <c r="F281" s="6">
        <v>1200</v>
      </c>
      <c r="G281" s="5" t="s">
        <v>728</v>
      </c>
      <c r="H281" s="5" t="s">
        <v>80</v>
      </c>
      <c r="I281" s="5" t="s">
        <v>19</v>
      </c>
      <c r="J281" s="5">
        <v>63500000</v>
      </c>
      <c r="K281" s="11" t="s">
        <v>3</v>
      </c>
      <c r="L281" s="5" t="s">
        <v>730</v>
      </c>
    </row>
    <row r="282" spans="1:246" ht="45" x14ac:dyDescent="0.25">
      <c r="A282" s="5"/>
      <c r="B282" s="5">
        <v>286</v>
      </c>
      <c r="C282" s="5" t="s">
        <v>648</v>
      </c>
      <c r="D282" s="5" t="s">
        <v>84</v>
      </c>
      <c r="E282" s="40" t="s">
        <v>1191</v>
      </c>
      <c r="F282" s="6">
        <v>1096.5</v>
      </c>
      <c r="G282" s="5" t="s">
        <v>728</v>
      </c>
      <c r="H282" s="5" t="s">
        <v>80</v>
      </c>
      <c r="I282" s="5" t="s">
        <v>19</v>
      </c>
      <c r="J282" s="5">
        <v>55100000</v>
      </c>
      <c r="K282" s="11" t="s">
        <v>3</v>
      </c>
      <c r="L282" s="5" t="s">
        <v>731</v>
      </c>
    </row>
    <row r="283" spans="1:246" ht="45" x14ac:dyDescent="0.25">
      <c r="A283" s="5"/>
      <c r="B283" s="1">
        <v>287</v>
      </c>
      <c r="C283" s="5" t="s">
        <v>614</v>
      </c>
      <c r="D283" s="5" t="s">
        <v>88</v>
      </c>
      <c r="E283" s="40">
        <v>73</v>
      </c>
      <c r="F283" s="6">
        <v>100</v>
      </c>
      <c r="G283" s="5" t="s">
        <v>728</v>
      </c>
      <c r="H283" s="5" t="s">
        <v>80</v>
      </c>
      <c r="I283" s="5" t="s">
        <v>19</v>
      </c>
      <c r="J283" s="5">
        <v>55300000</v>
      </c>
      <c r="K283" s="11" t="s">
        <v>3</v>
      </c>
      <c r="L283" s="5" t="s">
        <v>732</v>
      </c>
    </row>
    <row r="284" spans="1:246" ht="45" x14ac:dyDescent="0.25">
      <c r="A284" s="5"/>
      <c r="B284" s="1">
        <v>288</v>
      </c>
      <c r="C284" s="5" t="s">
        <v>649</v>
      </c>
      <c r="D284" s="5" t="s">
        <v>88</v>
      </c>
      <c r="E284" s="40">
        <v>100</v>
      </c>
      <c r="F284" s="6">
        <v>100</v>
      </c>
      <c r="G284" s="5" t="s">
        <v>728</v>
      </c>
      <c r="H284" s="5" t="s">
        <v>80</v>
      </c>
      <c r="I284" s="5" t="s">
        <v>19</v>
      </c>
      <c r="J284" s="5">
        <v>55300000</v>
      </c>
      <c r="K284" s="11" t="s">
        <v>3</v>
      </c>
      <c r="L284" s="5" t="s">
        <v>733</v>
      </c>
    </row>
    <row r="285" spans="1:246" ht="45" x14ac:dyDescent="0.25">
      <c r="A285" s="5"/>
      <c r="B285" s="5">
        <v>289</v>
      </c>
      <c r="C285" s="5" t="s">
        <v>650</v>
      </c>
      <c r="D285" s="5" t="s">
        <v>82</v>
      </c>
      <c r="E285" s="40">
        <v>375</v>
      </c>
      <c r="F285" s="6">
        <v>375</v>
      </c>
      <c r="G285" s="5" t="s">
        <v>728</v>
      </c>
      <c r="H285" s="5" t="s">
        <v>80</v>
      </c>
      <c r="I285" s="5" t="s">
        <v>19</v>
      </c>
      <c r="J285" s="5">
        <v>63500000</v>
      </c>
      <c r="K285" s="11" t="s">
        <v>3</v>
      </c>
      <c r="L285" s="5" t="s">
        <v>734</v>
      </c>
    </row>
    <row r="286" spans="1:246" ht="45" x14ac:dyDescent="0.25">
      <c r="A286" s="5"/>
      <c r="B286" s="5">
        <v>290</v>
      </c>
      <c r="C286" s="5" t="s">
        <v>651</v>
      </c>
      <c r="D286" s="5" t="s">
        <v>82</v>
      </c>
      <c r="E286" s="40">
        <v>187.5</v>
      </c>
      <c r="F286" s="6">
        <v>187.5</v>
      </c>
      <c r="G286" s="5" t="s">
        <v>728</v>
      </c>
      <c r="H286" s="5" t="s">
        <v>80</v>
      </c>
      <c r="I286" s="5" t="s">
        <v>19</v>
      </c>
      <c r="J286" s="5">
        <v>63500000</v>
      </c>
      <c r="K286" s="11" t="s">
        <v>3</v>
      </c>
      <c r="L286" s="5" t="s">
        <v>735</v>
      </c>
    </row>
    <row r="287" spans="1:246" ht="45" x14ac:dyDescent="0.25">
      <c r="A287" s="5"/>
      <c r="B287" s="1">
        <v>291</v>
      </c>
      <c r="C287" s="5" t="s">
        <v>259</v>
      </c>
      <c r="D287" s="5" t="s">
        <v>82</v>
      </c>
      <c r="E287" s="40">
        <v>250</v>
      </c>
      <c r="F287" s="6">
        <v>250</v>
      </c>
      <c r="G287" s="5" t="s">
        <v>728</v>
      </c>
      <c r="H287" s="5" t="s">
        <v>80</v>
      </c>
      <c r="I287" s="5" t="s">
        <v>19</v>
      </c>
      <c r="J287" s="5">
        <v>63500000</v>
      </c>
      <c r="K287" s="11" t="s">
        <v>3</v>
      </c>
      <c r="L287" s="5" t="s">
        <v>736</v>
      </c>
    </row>
    <row r="288" spans="1:246" ht="45" x14ac:dyDescent="0.25">
      <c r="A288" s="5"/>
      <c r="B288" s="1">
        <v>292</v>
      </c>
      <c r="C288" s="5" t="s">
        <v>272</v>
      </c>
      <c r="D288" s="5" t="s">
        <v>82</v>
      </c>
      <c r="E288" s="38">
        <v>150</v>
      </c>
      <c r="F288" s="6">
        <v>150</v>
      </c>
      <c r="G288" s="5" t="s">
        <v>728</v>
      </c>
      <c r="H288" s="5" t="s">
        <v>80</v>
      </c>
      <c r="I288" s="5" t="s">
        <v>19</v>
      </c>
      <c r="J288" s="5">
        <v>63500000</v>
      </c>
      <c r="K288" s="11" t="s">
        <v>3</v>
      </c>
      <c r="L288" s="5" t="s">
        <v>737</v>
      </c>
    </row>
    <row r="289" spans="1:12" ht="45" x14ac:dyDescent="0.25">
      <c r="A289" s="5"/>
      <c r="B289" s="5">
        <v>293</v>
      </c>
      <c r="C289" s="5" t="s">
        <v>637</v>
      </c>
      <c r="D289" s="5" t="s">
        <v>88</v>
      </c>
      <c r="E289" s="40" t="s">
        <v>808</v>
      </c>
      <c r="F289" s="6">
        <v>1150</v>
      </c>
      <c r="G289" s="5" t="s">
        <v>728</v>
      </c>
      <c r="H289" s="5" t="s">
        <v>80</v>
      </c>
      <c r="I289" s="5" t="s">
        <v>19</v>
      </c>
      <c r="J289" s="5">
        <v>55300000</v>
      </c>
      <c r="K289" s="11" t="s">
        <v>3</v>
      </c>
      <c r="L289" s="5" t="s">
        <v>738</v>
      </c>
    </row>
    <row r="290" spans="1:12" ht="45" x14ac:dyDescent="0.25">
      <c r="A290" s="5"/>
      <c r="B290" s="5">
        <v>294</v>
      </c>
      <c r="C290" s="5" t="s">
        <v>166</v>
      </c>
      <c r="D290" s="5" t="s">
        <v>563</v>
      </c>
      <c r="E290" s="40" t="s">
        <v>815</v>
      </c>
      <c r="F290" s="6">
        <v>3490</v>
      </c>
      <c r="G290" s="5" t="s">
        <v>728</v>
      </c>
      <c r="H290" s="5" t="s">
        <v>80</v>
      </c>
      <c r="I290" s="5" t="s">
        <v>19</v>
      </c>
      <c r="J290" s="5">
        <v>60100000</v>
      </c>
      <c r="K290" s="11" t="s">
        <v>3</v>
      </c>
      <c r="L290" s="5" t="s">
        <v>739</v>
      </c>
    </row>
    <row r="291" spans="1:12" ht="45" x14ac:dyDescent="0.25">
      <c r="A291" s="5"/>
      <c r="B291" s="1">
        <v>295</v>
      </c>
      <c r="C291" s="5" t="s">
        <v>396</v>
      </c>
      <c r="D291" s="5" t="s">
        <v>82</v>
      </c>
      <c r="E291" s="40" t="s">
        <v>783</v>
      </c>
      <c r="F291" s="6">
        <v>2192.5</v>
      </c>
      <c r="G291" s="5" t="s">
        <v>728</v>
      </c>
      <c r="H291" s="5" t="s">
        <v>80</v>
      </c>
      <c r="I291" s="5" t="s">
        <v>19</v>
      </c>
      <c r="J291" s="5">
        <v>63500000</v>
      </c>
      <c r="K291" s="11" t="s">
        <v>3</v>
      </c>
      <c r="L291" s="5" t="s">
        <v>740</v>
      </c>
    </row>
    <row r="292" spans="1:12" ht="45" x14ac:dyDescent="0.25">
      <c r="A292" s="5"/>
      <c r="B292" s="1">
        <v>296</v>
      </c>
      <c r="C292" s="5" t="s">
        <v>652</v>
      </c>
      <c r="D292" s="5" t="s">
        <v>653</v>
      </c>
      <c r="E292" s="40" t="s">
        <v>529</v>
      </c>
      <c r="F292" s="6">
        <v>30</v>
      </c>
      <c r="G292" s="5" t="s">
        <v>728</v>
      </c>
      <c r="H292" s="5" t="s">
        <v>80</v>
      </c>
      <c r="I292" s="5" t="s">
        <v>19</v>
      </c>
      <c r="J292" s="5">
        <v>98300000</v>
      </c>
      <c r="K292" s="11" t="s">
        <v>3</v>
      </c>
      <c r="L292" s="5" t="s">
        <v>741</v>
      </c>
    </row>
    <row r="293" spans="1:12" ht="45" x14ac:dyDescent="0.25">
      <c r="A293" s="5"/>
      <c r="B293" s="5">
        <v>297</v>
      </c>
      <c r="C293" s="5" t="s">
        <v>131</v>
      </c>
      <c r="D293" s="5" t="s">
        <v>294</v>
      </c>
      <c r="E293" s="40">
        <v>755.2</v>
      </c>
      <c r="F293" s="6">
        <v>755.2</v>
      </c>
      <c r="G293" s="5" t="s">
        <v>728</v>
      </c>
      <c r="H293" s="5" t="s">
        <v>80</v>
      </c>
      <c r="I293" s="5" t="s">
        <v>19</v>
      </c>
      <c r="J293" s="5">
        <v>55300000</v>
      </c>
      <c r="K293" s="11" t="s">
        <v>3</v>
      </c>
      <c r="L293" s="5" t="s">
        <v>991</v>
      </c>
    </row>
    <row r="294" spans="1:12" ht="45.75" x14ac:dyDescent="0.25">
      <c r="A294" s="5"/>
      <c r="B294" s="5">
        <v>298</v>
      </c>
      <c r="C294" s="5" t="s">
        <v>654</v>
      </c>
      <c r="D294" s="5" t="s">
        <v>655</v>
      </c>
      <c r="E294" s="40">
        <v>50</v>
      </c>
      <c r="F294" s="6">
        <v>50</v>
      </c>
      <c r="G294" s="5" t="s">
        <v>728</v>
      </c>
      <c r="H294" s="5" t="s">
        <v>80</v>
      </c>
      <c r="I294" s="5" t="s">
        <v>19</v>
      </c>
      <c r="J294" s="5">
        <v>50300000</v>
      </c>
      <c r="K294" s="11" t="s">
        <v>7</v>
      </c>
      <c r="L294" s="5" t="s">
        <v>742</v>
      </c>
    </row>
    <row r="295" spans="1:12" ht="101.25" x14ac:dyDescent="0.25">
      <c r="A295" s="5"/>
      <c r="B295" s="1">
        <v>299</v>
      </c>
      <c r="C295" s="5" t="s">
        <v>656</v>
      </c>
      <c r="D295" s="5" t="s">
        <v>657</v>
      </c>
      <c r="E295" s="40">
        <f>3000+80000</f>
        <v>83000</v>
      </c>
      <c r="F295" s="6">
        <v>83000</v>
      </c>
      <c r="G295" s="5" t="s">
        <v>728</v>
      </c>
      <c r="H295" s="5" t="s">
        <v>80</v>
      </c>
      <c r="I295" s="5" t="s">
        <v>19</v>
      </c>
      <c r="J295" s="5">
        <v>39100000</v>
      </c>
      <c r="K295" s="13" t="s">
        <v>281</v>
      </c>
      <c r="L295" s="5" t="s">
        <v>743</v>
      </c>
    </row>
    <row r="296" spans="1:12" ht="45.75" x14ac:dyDescent="0.25">
      <c r="A296" s="5"/>
      <c r="B296" s="1">
        <v>300</v>
      </c>
      <c r="C296" s="5" t="s">
        <v>658</v>
      </c>
      <c r="D296" s="5" t="s">
        <v>659</v>
      </c>
      <c r="E296" s="40">
        <v>71</v>
      </c>
      <c r="F296" s="6">
        <v>71</v>
      </c>
      <c r="G296" s="5" t="s">
        <v>728</v>
      </c>
      <c r="H296" s="5" t="s">
        <v>80</v>
      </c>
      <c r="I296" s="5" t="s">
        <v>19</v>
      </c>
      <c r="J296" s="5">
        <v>50300000</v>
      </c>
      <c r="K296" s="11" t="s">
        <v>7</v>
      </c>
      <c r="L296" s="5" t="s">
        <v>744</v>
      </c>
    </row>
    <row r="297" spans="1:12" ht="45" x14ac:dyDescent="0.25">
      <c r="A297" s="5"/>
      <c r="B297" s="5">
        <v>301</v>
      </c>
      <c r="C297" s="5" t="s">
        <v>131</v>
      </c>
      <c r="D297" s="5" t="s">
        <v>88</v>
      </c>
      <c r="E297" s="40">
        <v>396.48</v>
      </c>
      <c r="F297" s="6">
        <v>396.48</v>
      </c>
      <c r="G297" s="5" t="s">
        <v>745</v>
      </c>
      <c r="H297" s="5" t="s">
        <v>80</v>
      </c>
      <c r="I297" s="5" t="s">
        <v>19</v>
      </c>
      <c r="J297" s="5">
        <v>55300000</v>
      </c>
      <c r="K297" s="20" t="s">
        <v>3</v>
      </c>
      <c r="L297" s="5" t="s">
        <v>982</v>
      </c>
    </row>
    <row r="298" spans="1:12" ht="90" x14ac:dyDescent="0.25">
      <c r="A298" s="5"/>
      <c r="B298" s="5">
        <v>302</v>
      </c>
      <c r="C298" s="5" t="s">
        <v>660</v>
      </c>
      <c r="D298" s="5" t="s">
        <v>661</v>
      </c>
      <c r="E298" s="40" t="s">
        <v>778</v>
      </c>
      <c r="F298" s="6">
        <v>73707.490000000005</v>
      </c>
      <c r="G298" s="5" t="s">
        <v>745</v>
      </c>
      <c r="H298" s="5" t="s">
        <v>80</v>
      </c>
      <c r="I298" s="5" t="s">
        <v>19</v>
      </c>
      <c r="J298" s="5">
        <v>92100000</v>
      </c>
      <c r="K298" s="13" t="s">
        <v>746</v>
      </c>
      <c r="L298" s="5" t="s">
        <v>777</v>
      </c>
    </row>
    <row r="299" spans="1:12" ht="90" x14ac:dyDescent="0.25">
      <c r="A299" s="5"/>
      <c r="B299" s="1">
        <v>303</v>
      </c>
      <c r="C299" s="5" t="s">
        <v>662</v>
      </c>
      <c r="D299" s="5" t="s">
        <v>663</v>
      </c>
      <c r="E299" s="40" t="s">
        <v>1447</v>
      </c>
      <c r="F299" s="6">
        <v>175000</v>
      </c>
      <c r="G299" s="5" t="s">
        <v>745</v>
      </c>
      <c r="H299" s="5" t="s">
        <v>80</v>
      </c>
      <c r="I299" s="5" t="s">
        <v>19</v>
      </c>
      <c r="J299" s="5">
        <v>92200000</v>
      </c>
      <c r="K299" s="13" t="s">
        <v>747</v>
      </c>
      <c r="L299" s="5" t="s">
        <v>748</v>
      </c>
    </row>
    <row r="300" spans="1:12" ht="45" x14ac:dyDescent="0.25">
      <c r="A300" s="5"/>
      <c r="B300" s="1">
        <v>304</v>
      </c>
      <c r="C300" s="5" t="s">
        <v>664</v>
      </c>
      <c r="D300" s="5" t="s">
        <v>82</v>
      </c>
      <c r="E300" s="40" t="s">
        <v>966</v>
      </c>
      <c r="F300" s="6">
        <v>1075</v>
      </c>
      <c r="G300" s="5" t="s">
        <v>745</v>
      </c>
      <c r="H300" s="5" t="s">
        <v>80</v>
      </c>
      <c r="I300" s="5" t="s">
        <v>19</v>
      </c>
      <c r="J300" s="5">
        <v>63500000</v>
      </c>
      <c r="K300" s="11" t="s">
        <v>3</v>
      </c>
      <c r="L300" s="5" t="s">
        <v>749</v>
      </c>
    </row>
    <row r="301" spans="1:12" ht="45" x14ac:dyDescent="0.25">
      <c r="A301" s="5"/>
      <c r="B301" s="5">
        <v>305</v>
      </c>
      <c r="C301" s="5" t="s">
        <v>665</v>
      </c>
      <c r="D301" s="5" t="s">
        <v>88</v>
      </c>
      <c r="E301" s="40" t="s">
        <v>789</v>
      </c>
      <c r="F301" s="6">
        <v>17464</v>
      </c>
      <c r="G301" s="5" t="s">
        <v>745</v>
      </c>
      <c r="H301" s="5" t="s">
        <v>80</v>
      </c>
      <c r="I301" s="5" t="s">
        <v>19</v>
      </c>
      <c r="J301" s="5">
        <v>55300000</v>
      </c>
      <c r="K301" s="11" t="s">
        <v>3</v>
      </c>
      <c r="L301" s="5" t="s">
        <v>750</v>
      </c>
    </row>
    <row r="302" spans="1:12" ht="45" x14ac:dyDescent="0.25">
      <c r="A302" s="5"/>
      <c r="B302" s="5">
        <v>306</v>
      </c>
      <c r="C302" s="5" t="s">
        <v>666</v>
      </c>
      <c r="D302" s="5" t="s">
        <v>88</v>
      </c>
      <c r="E302" s="40" t="s">
        <v>980</v>
      </c>
      <c r="F302" s="6">
        <v>27206</v>
      </c>
      <c r="G302" s="5" t="s">
        <v>745</v>
      </c>
      <c r="H302" s="5" t="s">
        <v>80</v>
      </c>
      <c r="I302" s="5" t="s">
        <v>19</v>
      </c>
      <c r="J302" s="5">
        <v>55300000</v>
      </c>
      <c r="K302" s="11" t="s">
        <v>3</v>
      </c>
      <c r="L302" s="5" t="s">
        <v>979</v>
      </c>
    </row>
    <row r="303" spans="1:12" ht="45" x14ac:dyDescent="0.25">
      <c r="A303" s="5"/>
      <c r="B303" s="1">
        <v>307</v>
      </c>
      <c r="C303" s="5" t="s">
        <v>645</v>
      </c>
      <c r="D303" s="5" t="s">
        <v>88</v>
      </c>
      <c r="E303" s="40" t="s">
        <v>967</v>
      </c>
      <c r="F303" s="6">
        <v>57525</v>
      </c>
      <c r="G303" s="5" t="s">
        <v>745</v>
      </c>
      <c r="H303" s="5" t="s">
        <v>80</v>
      </c>
      <c r="I303" s="5" t="s">
        <v>19</v>
      </c>
      <c r="J303" s="5">
        <v>55300000</v>
      </c>
      <c r="K303" s="11" t="s">
        <v>3</v>
      </c>
      <c r="L303" s="5" t="s">
        <v>751</v>
      </c>
    </row>
    <row r="304" spans="1:12" ht="45" x14ac:dyDescent="0.25">
      <c r="A304" s="5"/>
      <c r="B304" s="1">
        <v>308</v>
      </c>
      <c r="C304" s="5" t="s">
        <v>122</v>
      </c>
      <c r="D304" s="5" t="s">
        <v>88</v>
      </c>
      <c r="E304" s="40" t="s">
        <v>972</v>
      </c>
      <c r="F304" s="6">
        <v>1948.88</v>
      </c>
      <c r="G304" s="5" t="s">
        <v>745</v>
      </c>
      <c r="H304" s="5" t="s">
        <v>80</v>
      </c>
      <c r="I304" s="5" t="s">
        <v>19</v>
      </c>
      <c r="J304" s="5">
        <v>55300000</v>
      </c>
      <c r="K304" s="11" t="s">
        <v>3</v>
      </c>
      <c r="L304" s="5" t="s">
        <v>970</v>
      </c>
    </row>
    <row r="305" spans="1:12" ht="45" x14ac:dyDescent="0.25">
      <c r="A305" s="5"/>
      <c r="B305" s="5">
        <v>309</v>
      </c>
      <c r="C305" s="54" t="s">
        <v>667</v>
      </c>
      <c r="D305" s="5" t="s">
        <v>103</v>
      </c>
      <c r="E305" s="40" t="s">
        <v>976</v>
      </c>
      <c r="F305" s="6">
        <v>2210</v>
      </c>
      <c r="G305" s="5" t="s">
        <v>745</v>
      </c>
      <c r="H305" s="5" t="s">
        <v>80</v>
      </c>
      <c r="I305" s="5" t="s">
        <v>19</v>
      </c>
      <c r="J305" s="5">
        <v>60400000</v>
      </c>
      <c r="K305" s="11" t="s">
        <v>3</v>
      </c>
      <c r="L305" s="5" t="s">
        <v>971</v>
      </c>
    </row>
    <row r="306" spans="1:12" ht="45" x14ac:dyDescent="0.25">
      <c r="A306" s="5"/>
      <c r="B306" s="5">
        <v>310</v>
      </c>
      <c r="C306" s="5" t="s">
        <v>395</v>
      </c>
      <c r="D306" s="5" t="s">
        <v>563</v>
      </c>
      <c r="E306" s="40" t="s">
        <v>807</v>
      </c>
      <c r="F306" s="6">
        <v>1550</v>
      </c>
      <c r="G306" s="5" t="s">
        <v>752</v>
      </c>
      <c r="H306" s="5" t="s">
        <v>80</v>
      </c>
      <c r="I306" s="5" t="s">
        <v>19</v>
      </c>
      <c r="J306" s="5">
        <v>60100000</v>
      </c>
      <c r="K306" s="11" t="s">
        <v>3</v>
      </c>
      <c r="L306" s="5" t="s">
        <v>806</v>
      </c>
    </row>
    <row r="307" spans="1:12" ht="45" x14ac:dyDescent="0.25">
      <c r="A307" s="5"/>
      <c r="B307" s="1">
        <v>311</v>
      </c>
      <c r="C307" s="55" t="s">
        <v>2120</v>
      </c>
      <c r="D307" s="5" t="s">
        <v>88</v>
      </c>
      <c r="E307" s="40">
        <v>94.27</v>
      </c>
      <c r="F307" s="6">
        <v>100</v>
      </c>
      <c r="G307" s="5" t="s">
        <v>752</v>
      </c>
      <c r="H307" s="5" t="s">
        <v>80</v>
      </c>
      <c r="I307" s="5" t="s">
        <v>19</v>
      </c>
      <c r="J307" s="5">
        <v>55300000</v>
      </c>
      <c r="K307" s="11" t="s">
        <v>3</v>
      </c>
      <c r="L307" s="5" t="s">
        <v>813</v>
      </c>
    </row>
    <row r="308" spans="1:12" ht="45" x14ac:dyDescent="0.25">
      <c r="A308" s="5"/>
      <c r="B308" s="1">
        <v>312</v>
      </c>
      <c r="C308" s="5" t="s">
        <v>613</v>
      </c>
      <c r="D308" s="5" t="s">
        <v>84</v>
      </c>
      <c r="E308" s="40">
        <v>352</v>
      </c>
      <c r="F308" s="6">
        <v>352</v>
      </c>
      <c r="G308" s="5" t="s">
        <v>753</v>
      </c>
      <c r="H308" s="5" t="s">
        <v>80</v>
      </c>
      <c r="I308" s="5" t="s">
        <v>19</v>
      </c>
      <c r="J308" s="5">
        <v>55100000</v>
      </c>
      <c r="K308" s="11" t="s">
        <v>3</v>
      </c>
      <c r="L308" s="5" t="s">
        <v>814</v>
      </c>
    </row>
    <row r="309" spans="1:12" ht="45" x14ac:dyDescent="0.25">
      <c r="A309" s="5"/>
      <c r="B309" s="5">
        <v>313</v>
      </c>
      <c r="C309" s="5" t="s">
        <v>166</v>
      </c>
      <c r="D309" s="5" t="s">
        <v>563</v>
      </c>
      <c r="E309" s="40">
        <v>700</v>
      </c>
      <c r="F309" s="6">
        <v>700</v>
      </c>
      <c r="G309" s="5" t="s">
        <v>753</v>
      </c>
      <c r="H309" s="5" t="s">
        <v>80</v>
      </c>
      <c r="I309" s="5" t="s">
        <v>19</v>
      </c>
      <c r="J309" s="5">
        <v>60100000</v>
      </c>
      <c r="K309" s="11" t="s">
        <v>3</v>
      </c>
      <c r="L309" s="5" t="s">
        <v>754</v>
      </c>
    </row>
    <row r="310" spans="1:12" ht="45" x14ac:dyDescent="0.25">
      <c r="A310" s="5"/>
      <c r="B310" s="5">
        <v>314</v>
      </c>
      <c r="C310" s="5" t="s">
        <v>959</v>
      </c>
      <c r="D310" s="5" t="s">
        <v>103</v>
      </c>
      <c r="E310" s="40" t="s">
        <v>975</v>
      </c>
      <c r="F310" s="6">
        <v>12960</v>
      </c>
      <c r="G310" s="5" t="s">
        <v>753</v>
      </c>
      <c r="H310" s="5" t="s">
        <v>80</v>
      </c>
      <c r="I310" s="5" t="s">
        <v>19</v>
      </c>
      <c r="J310" s="5">
        <v>60400000</v>
      </c>
      <c r="K310" s="11" t="s">
        <v>3</v>
      </c>
      <c r="L310" s="5" t="s">
        <v>961</v>
      </c>
    </row>
    <row r="311" spans="1:12" ht="45" x14ac:dyDescent="0.25">
      <c r="A311" s="5"/>
      <c r="B311" s="1">
        <v>315</v>
      </c>
      <c r="C311" s="5" t="s">
        <v>102</v>
      </c>
      <c r="D311" s="5" t="s">
        <v>103</v>
      </c>
      <c r="E311" s="40" t="s">
        <v>964</v>
      </c>
      <c r="F311" s="6">
        <v>7298.7</v>
      </c>
      <c r="G311" s="5" t="s">
        <v>753</v>
      </c>
      <c r="H311" s="5" t="s">
        <v>80</v>
      </c>
      <c r="I311" s="5" t="s">
        <v>19</v>
      </c>
      <c r="J311" s="5">
        <v>60400000</v>
      </c>
      <c r="K311" s="11" t="s">
        <v>3</v>
      </c>
      <c r="L311" s="5" t="s">
        <v>962</v>
      </c>
    </row>
    <row r="312" spans="1:12" ht="45" x14ac:dyDescent="0.25">
      <c r="A312" s="5"/>
      <c r="B312" s="1">
        <v>316</v>
      </c>
      <c r="C312" s="5" t="s">
        <v>960</v>
      </c>
      <c r="D312" s="5" t="s">
        <v>84</v>
      </c>
      <c r="E312" s="40" t="s">
        <v>1159</v>
      </c>
      <c r="F312" s="6">
        <v>4112.84</v>
      </c>
      <c r="G312" s="5" t="s">
        <v>753</v>
      </c>
      <c r="H312" s="5" t="s">
        <v>80</v>
      </c>
      <c r="I312" s="5" t="s">
        <v>19</v>
      </c>
      <c r="J312" s="5">
        <v>55100000</v>
      </c>
      <c r="K312" s="11" t="s">
        <v>3</v>
      </c>
      <c r="L312" s="5" t="s">
        <v>963</v>
      </c>
    </row>
    <row r="313" spans="1:12" ht="45" x14ac:dyDescent="0.25">
      <c r="A313" s="5"/>
      <c r="B313" s="5">
        <v>317</v>
      </c>
      <c r="C313" s="5" t="s">
        <v>669</v>
      </c>
      <c r="D313" s="5" t="s">
        <v>670</v>
      </c>
      <c r="E313" s="38">
        <v>2902</v>
      </c>
      <c r="F313" s="6">
        <v>2902</v>
      </c>
      <c r="G313" s="5" t="s">
        <v>755</v>
      </c>
      <c r="H313" s="5" t="s">
        <v>80</v>
      </c>
      <c r="I313" s="5" t="s">
        <v>9</v>
      </c>
      <c r="J313" s="5">
        <v>71300000</v>
      </c>
      <c r="K313" s="5" t="s">
        <v>756</v>
      </c>
      <c r="L313" s="5"/>
    </row>
    <row r="314" spans="1:12" ht="45" x14ac:dyDescent="0.25">
      <c r="A314" s="5"/>
      <c r="B314" s="5">
        <v>318</v>
      </c>
      <c r="C314" s="5" t="s">
        <v>272</v>
      </c>
      <c r="D314" s="5" t="s">
        <v>563</v>
      </c>
      <c r="E314" s="40">
        <v>170</v>
      </c>
      <c r="F314" s="6">
        <v>170</v>
      </c>
      <c r="G314" s="5" t="s">
        <v>755</v>
      </c>
      <c r="H314" s="5" t="s">
        <v>80</v>
      </c>
      <c r="I314" s="5" t="s">
        <v>19</v>
      </c>
      <c r="J314" s="5">
        <v>63500000</v>
      </c>
      <c r="K314" s="11" t="s">
        <v>3</v>
      </c>
      <c r="L314" s="5" t="s">
        <v>757</v>
      </c>
    </row>
    <row r="315" spans="1:12" ht="45" x14ac:dyDescent="0.25">
      <c r="A315" s="5"/>
      <c r="B315" s="1">
        <v>319</v>
      </c>
      <c r="C315" s="5" t="s">
        <v>671</v>
      </c>
      <c r="D315" s="5" t="s">
        <v>82</v>
      </c>
      <c r="E315" s="40">
        <v>175</v>
      </c>
      <c r="F315" s="6">
        <v>175</v>
      </c>
      <c r="G315" s="5" t="s">
        <v>755</v>
      </c>
      <c r="H315" s="5" t="s">
        <v>80</v>
      </c>
      <c r="I315" s="5" t="s">
        <v>19</v>
      </c>
      <c r="J315" s="5">
        <v>63500000</v>
      </c>
      <c r="K315" s="11" t="s">
        <v>3</v>
      </c>
      <c r="L315" s="5" t="s">
        <v>758</v>
      </c>
    </row>
    <row r="316" spans="1:12" ht="45" x14ac:dyDescent="0.25">
      <c r="A316" s="5"/>
      <c r="B316" s="1">
        <v>320</v>
      </c>
      <c r="C316" s="5" t="s">
        <v>672</v>
      </c>
      <c r="D316" s="5" t="s">
        <v>563</v>
      </c>
      <c r="E316" s="40">
        <v>735</v>
      </c>
      <c r="F316" s="6">
        <v>735</v>
      </c>
      <c r="G316" s="5" t="s">
        <v>755</v>
      </c>
      <c r="H316" s="5" t="s">
        <v>80</v>
      </c>
      <c r="I316" s="5" t="s">
        <v>19</v>
      </c>
      <c r="J316" s="5">
        <v>60100000</v>
      </c>
      <c r="K316" s="11" t="s">
        <v>3</v>
      </c>
      <c r="L316" s="5" t="s">
        <v>809</v>
      </c>
    </row>
    <row r="317" spans="1:12" ht="45" x14ac:dyDescent="0.25">
      <c r="A317" s="5"/>
      <c r="B317" s="5">
        <v>321</v>
      </c>
      <c r="C317" s="5" t="s">
        <v>635</v>
      </c>
      <c r="D317" s="5" t="s">
        <v>84</v>
      </c>
      <c r="E317" s="40">
        <v>650</v>
      </c>
      <c r="F317" s="6">
        <v>650</v>
      </c>
      <c r="G317" s="5" t="s">
        <v>755</v>
      </c>
      <c r="H317" s="5" t="s">
        <v>80</v>
      </c>
      <c r="I317" s="5" t="s">
        <v>19</v>
      </c>
      <c r="J317" s="5">
        <v>55100000</v>
      </c>
      <c r="K317" s="11" t="s">
        <v>3</v>
      </c>
      <c r="L317" s="5" t="s">
        <v>810</v>
      </c>
    </row>
    <row r="318" spans="1:12" ht="45" x14ac:dyDescent="0.25">
      <c r="A318" s="5"/>
      <c r="B318" s="5">
        <v>322</v>
      </c>
      <c r="C318" s="5" t="s">
        <v>635</v>
      </c>
      <c r="D318" s="5" t="s">
        <v>88</v>
      </c>
      <c r="E318" s="40" t="s">
        <v>1446</v>
      </c>
      <c r="F318" s="6">
        <v>1040</v>
      </c>
      <c r="G318" s="5" t="s">
        <v>755</v>
      </c>
      <c r="H318" s="5" t="s">
        <v>80</v>
      </c>
      <c r="I318" s="5" t="s">
        <v>19</v>
      </c>
      <c r="J318" s="5">
        <v>55300000</v>
      </c>
      <c r="K318" s="11" t="s">
        <v>3</v>
      </c>
      <c r="L318" s="5" t="s">
        <v>811</v>
      </c>
    </row>
    <row r="319" spans="1:12" ht="101.25" x14ac:dyDescent="0.25">
      <c r="A319" s="5"/>
      <c r="B319" s="1">
        <v>323</v>
      </c>
      <c r="C319" s="5" t="s">
        <v>673</v>
      </c>
      <c r="D319" s="5" t="s">
        <v>674</v>
      </c>
      <c r="E319" s="40">
        <v>105</v>
      </c>
      <c r="F319" s="6">
        <v>130</v>
      </c>
      <c r="G319" s="5" t="s">
        <v>755</v>
      </c>
      <c r="H319" s="5" t="s">
        <v>80</v>
      </c>
      <c r="I319" s="5" t="s">
        <v>19</v>
      </c>
      <c r="J319" s="5">
        <v>79500000</v>
      </c>
      <c r="K319" s="13" t="s">
        <v>588</v>
      </c>
      <c r="L319" s="5" t="s">
        <v>759</v>
      </c>
    </row>
    <row r="320" spans="1:12" ht="101.25" x14ac:dyDescent="0.25">
      <c r="A320" s="5"/>
      <c r="B320" s="1">
        <v>324</v>
      </c>
      <c r="C320" s="5" t="s">
        <v>675</v>
      </c>
      <c r="D320" s="5" t="s">
        <v>676</v>
      </c>
      <c r="E320" s="40">
        <f>511.58</f>
        <v>511.58</v>
      </c>
      <c r="F320" s="6">
        <v>530</v>
      </c>
      <c r="G320" s="5" t="s">
        <v>755</v>
      </c>
      <c r="H320" s="5" t="s">
        <v>80</v>
      </c>
      <c r="I320" s="5" t="s">
        <v>19</v>
      </c>
      <c r="J320" s="5">
        <v>39100000</v>
      </c>
      <c r="K320" s="13" t="s">
        <v>281</v>
      </c>
      <c r="L320" s="5" t="s">
        <v>760</v>
      </c>
    </row>
    <row r="321" spans="1:12" ht="45" x14ac:dyDescent="0.25">
      <c r="A321" s="5"/>
      <c r="B321" s="5">
        <v>325</v>
      </c>
      <c r="C321" s="5" t="s">
        <v>614</v>
      </c>
      <c r="D321" s="5" t="s">
        <v>88</v>
      </c>
      <c r="E321" s="40">
        <v>285</v>
      </c>
      <c r="F321" s="6">
        <v>350</v>
      </c>
      <c r="G321" s="5" t="s">
        <v>755</v>
      </c>
      <c r="H321" s="5" t="s">
        <v>80</v>
      </c>
      <c r="I321" s="5" t="s">
        <v>19</v>
      </c>
      <c r="J321" s="5">
        <v>55300000</v>
      </c>
      <c r="K321" s="11" t="s">
        <v>3</v>
      </c>
      <c r="L321" s="5" t="s">
        <v>812</v>
      </c>
    </row>
    <row r="322" spans="1:12" ht="22.5" x14ac:dyDescent="0.25">
      <c r="A322" s="5"/>
      <c r="B322" s="5">
        <v>326</v>
      </c>
      <c r="C322" s="5" t="s">
        <v>640</v>
      </c>
      <c r="D322" s="5" t="s">
        <v>832</v>
      </c>
      <c r="E322" s="38">
        <v>3999.93</v>
      </c>
      <c r="F322" s="6">
        <v>3999.93</v>
      </c>
      <c r="G322" s="5" t="s">
        <v>886</v>
      </c>
      <c r="H322" s="5" t="s">
        <v>80</v>
      </c>
      <c r="I322" s="5" t="s">
        <v>9</v>
      </c>
      <c r="J322" s="5">
        <v>79800000</v>
      </c>
      <c r="K322" s="20" t="s">
        <v>887</v>
      </c>
      <c r="L322" s="5"/>
    </row>
    <row r="323" spans="1:12" ht="101.25" x14ac:dyDescent="0.25">
      <c r="A323" s="5"/>
      <c r="B323" s="1">
        <v>327</v>
      </c>
      <c r="C323" s="5" t="s">
        <v>833</v>
      </c>
      <c r="D323" s="5" t="s">
        <v>834</v>
      </c>
      <c r="E323" s="40">
        <f>2900.7+16132.83</f>
        <v>19033.53</v>
      </c>
      <c r="F323" s="6">
        <v>18605.650000000001</v>
      </c>
      <c r="G323" s="5" t="s">
        <v>888</v>
      </c>
      <c r="H323" s="5" t="s">
        <v>80</v>
      </c>
      <c r="I323" s="5" t="s">
        <v>19</v>
      </c>
      <c r="J323" s="5">
        <v>79300000</v>
      </c>
      <c r="K323" s="13" t="s">
        <v>588</v>
      </c>
      <c r="L323" s="5" t="s">
        <v>889</v>
      </c>
    </row>
    <row r="324" spans="1:12" ht="45" x14ac:dyDescent="0.25">
      <c r="A324" s="5"/>
      <c r="B324" s="1">
        <v>328</v>
      </c>
      <c r="C324" s="5" t="s">
        <v>835</v>
      </c>
      <c r="D324" s="5" t="s">
        <v>82</v>
      </c>
      <c r="E324" s="40" t="s">
        <v>993</v>
      </c>
      <c r="F324" s="6">
        <v>1656.25</v>
      </c>
      <c r="G324" s="5" t="s">
        <v>888</v>
      </c>
      <c r="H324" s="5" t="s">
        <v>80</v>
      </c>
      <c r="I324" s="5" t="s">
        <v>19</v>
      </c>
      <c r="J324" s="5">
        <v>63500000</v>
      </c>
      <c r="K324" s="11" t="s">
        <v>3</v>
      </c>
      <c r="L324" s="5" t="s">
        <v>890</v>
      </c>
    </row>
    <row r="325" spans="1:12" ht="101.25" x14ac:dyDescent="0.25">
      <c r="A325" s="5"/>
      <c r="B325" s="5">
        <v>329</v>
      </c>
      <c r="C325" s="5" t="s">
        <v>836</v>
      </c>
      <c r="D325" s="5" t="s">
        <v>837</v>
      </c>
      <c r="E325" s="40" t="s">
        <v>956</v>
      </c>
      <c r="F325" s="6">
        <v>8155.4</v>
      </c>
      <c r="G325" s="5" t="s">
        <v>891</v>
      </c>
      <c r="H325" s="5" t="s">
        <v>80</v>
      </c>
      <c r="I325" s="5" t="s">
        <v>19</v>
      </c>
      <c r="J325" s="5">
        <v>55100000</v>
      </c>
      <c r="K325" s="13" t="s">
        <v>588</v>
      </c>
      <c r="L325" s="5" t="s">
        <v>955</v>
      </c>
    </row>
    <row r="326" spans="1:12" ht="45" x14ac:dyDescent="0.25">
      <c r="A326" s="5"/>
      <c r="B326" s="5">
        <v>330</v>
      </c>
      <c r="C326" s="5" t="s">
        <v>166</v>
      </c>
      <c r="D326" s="5" t="s">
        <v>563</v>
      </c>
      <c r="E326" s="40" t="s">
        <v>989</v>
      </c>
      <c r="F326" s="6">
        <v>2950</v>
      </c>
      <c r="G326" s="5" t="s">
        <v>891</v>
      </c>
      <c r="H326" s="5" t="s">
        <v>80</v>
      </c>
      <c r="I326" s="5" t="s">
        <v>19</v>
      </c>
      <c r="J326" s="5">
        <v>60100000</v>
      </c>
      <c r="K326" s="11" t="s">
        <v>3</v>
      </c>
      <c r="L326" s="5" t="s">
        <v>892</v>
      </c>
    </row>
    <row r="327" spans="1:12" ht="45" x14ac:dyDescent="0.25">
      <c r="A327" s="5"/>
      <c r="B327" s="1">
        <v>331</v>
      </c>
      <c r="C327" s="5" t="s">
        <v>167</v>
      </c>
      <c r="D327" s="5" t="s">
        <v>82</v>
      </c>
      <c r="E327" s="40" t="s">
        <v>981</v>
      </c>
      <c r="F327" s="6">
        <v>2287.5</v>
      </c>
      <c r="G327" s="5" t="s">
        <v>891</v>
      </c>
      <c r="H327" s="5" t="s">
        <v>80</v>
      </c>
      <c r="I327" s="5" t="s">
        <v>19</v>
      </c>
      <c r="J327" s="5">
        <v>63500000</v>
      </c>
      <c r="K327" s="11" t="s">
        <v>3</v>
      </c>
      <c r="L327" s="5" t="s">
        <v>893</v>
      </c>
    </row>
    <row r="328" spans="1:12" ht="45" x14ac:dyDescent="0.25">
      <c r="A328" s="5"/>
      <c r="B328" s="1">
        <v>332</v>
      </c>
      <c r="C328" s="5" t="s">
        <v>614</v>
      </c>
      <c r="D328" s="5" t="s">
        <v>88</v>
      </c>
      <c r="E328" s="40" t="s">
        <v>973</v>
      </c>
      <c r="F328" s="6">
        <v>360</v>
      </c>
      <c r="G328" s="5" t="s">
        <v>891</v>
      </c>
      <c r="H328" s="5" t="s">
        <v>80</v>
      </c>
      <c r="I328" s="5" t="s">
        <v>19</v>
      </c>
      <c r="J328" s="5">
        <v>55300000</v>
      </c>
      <c r="K328" s="11" t="s">
        <v>3</v>
      </c>
      <c r="L328" s="5" t="s">
        <v>894</v>
      </c>
    </row>
    <row r="329" spans="1:12" ht="45" x14ac:dyDescent="0.25">
      <c r="A329" s="5"/>
      <c r="B329" s="5">
        <v>333</v>
      </c>
      <c r="C329" s="5" t="s">
        <v>838</v>
      </c>
      <c r="D329" s="5" t="s">
        <v>88</v>
      </c>
      <c r="E329" s="40">
        <v>400</v>
      </c>
      <c r="F329" s="6">
        <v>400</v>
      </c>
      <c r="G329" s="5" t="s">
        <v>891</v>
      </c>
      <c r="H329" s="5" t="s">
        <v>80</v>
      </c>
      <c r="I329" s="5" t="s">
        <v>19</v>
      </c>
      <c r="J329" s="5">
        <v>55300000</v>
      </c>
      <c r="K329" s="11" t="s">
        <v>3</v>
      </c>
      <c r="L329" s="56" t="s">
        <v>974</v>
      </c>
    </row>
    <row r="330" spans="1:12" ht="45" x14ac:dyDescent="0.25">
      <c r="A330" s="5"/>
      <c r="B330" s="5">
        <v>334</v>
      </c>
      <c r="C330" s="5" t="s">
        <v>839</v>
      </c>
      <c r="D330" s="5" t="s">
        <v>88</v>
      </c>
      <c r="E330" s="40">
        <v>400</v>
      </c>
      <c r="F330" s="6">
        <v>400</v>
      </c>
      <c r="G330" s="5" t="s">
        <v>891</v>
      </c>
      <c r="H330" s="5" t="s">
        <v>80</v>
      </c>
      <c r="I330" s="5" t="s">
        <v>19</v>
      </c>
      <c r="J330" s="5">
        <v>55300000</v>
      </c>
      <c r="K330" s="11" t="s">
        <v>3</v>
      </c>
      <c r="L330" s="5" t="s">
        <v>895</v>
      </c>
    </row>
    <row r="331" spans="1:12" ht="45" x14ac:dyDescent="0.25">
      <c r="A331" s="5"/>
      <c r="B331" s="1">
        <v>335</v>
      </c>
      <c r="C331" s="5" t="s">
        <v>668</v>
      </c>
      <c r="D331" s="5" t="s">
        <v>88</v>
      </c>
      <c r="E331" s="40">
        <v>448.8</v>
      </c>
      <c r="F331" s="6">
        <v>500</v>
      </c>
      <c r="G331" s="5" t="s">
        <v>891</v>
      </c>
      <c r="H331" s="5" t="s">
        <v>80</v>
      </c>
      <c r="I331" s="5" t="s">
        <v>19</v>
      </c>
      <c r="J331" s="5">
        <v>55300000</v>
      </c>
      <c r="K331" s="11" t="s">
        <v>3</v>
      </c>
      <c r="L331" s="5" t="s">
        <v>896</v>
      </c>
    </row>
    <row r="332" spans="1:12" ht="45" x14ac:dyDescent="0.25">
      <c r="A332" s="5"/>
      <c r="B332" s="1">
        <v>336</v>
      </c>
      <c r="C332" s="5" t="s">
        <v>395</v>
      </c>
      <c r="D332" s="5" t="s">
        <v>563</v>
      </c>
      <c r="E332" s="40" t="s">
        <v>983</v>
      </c>
      <c r="F332" s="6">
        <v>4000</v>
      </c>
      <c r="G332" s="5" t="s">
        <v>891</v>
      </c>
      <c r="H332" s="5" t="s">
        <v>80</v>
      </c>
      <c r="I332" s="5" t="s">
        <v>19</v>
      </c>
      <c r="J332" s="5">
        <v>60100000</v>
      </c>
      <c r="K332" s="11" t="s">
        <v>3</v>
      </c>
      <c r="L332" s="5" t="s">
        <v>897</v>
      </c>
    </row>
    <row r="333" spans="1:12" ht="45" x14ac:dyDescent="0.25">
      <c r="A333" s="5"/>
      <c r="B333" s="5">
        <v>337</v>
      </c>
      <c r="C333" s="5" t="s">
        <v>840</v>
      </c>
      <c r="D333" s="5" t="s">
        <v>82</v>
      </c>
      <c r="E333" s="40" t="s">
        <v>994</v>
      </c>
      <c r="F333" s="6">
        <v>1750</v>
      </c>
      <c r="G333" s="5" t="s">
        <v>891</v>
      </c>
      <c r="H333" s="5" t="s">
        <v>80</v>
      </c>
      <c r="I333" s="5" t="s">
        <v>19</v>
      </c>
      <c r="J333" s="5">
        <v>63500000</v>
      </c>
      <c r="K333" s="11" t="s">
        <v>3</v>
      </c>
      <c r="L333" s="5" t="s">
        <v>898</v>
      </c>
    </row>
    <row r="334" spans="1:12" ht="45" x14ac:dyDescent="0.25">
      <c r="A334" s="5"/>
      <c r="B334" s="5">
        <v>338</v>
      </c>
      <c r="C334" s="5" t="s">
        <v>841</v>
      </c>
      <c r="D334" s="5" t="s">
        <v>563</v>
      </c>
      <c r="E334" s="40" t="s">
        <v>990</v>
      </c>
      <c r="F334" s="6">
        <v>1470</v>
      </c>
      <c r="G334" s="5" t="s">
        <v>891</v>
      </c>
      <c r="H334" s="5" t="s">
        <v>80</v>
      </c>
      <c r="I334" s="5" t="s">
        <v>19</v>
      </c>
      <c r="J334" s="5">
        <v>60100000</v>
      </c>
      <c r="K334" s="11" t="s">
        <v>3</v>
      </c>
      <c r="L334" s="5" t="s">
        <v>899</v>
      </c>
    </row>
    <row r="335" spans="1:12" ht="101.25" x14ac:dyDescent="0.25">
      <c r="A335" s="5"/>
      <c r="B335" s="1">
        <v>339</v>
      </c>
      <c r="C335" s="5" t="s">
        <v>842</v>
      </c>
      <c r="D335" s="5" t="s">
        <v>843</v>
      </c>
      <c r="E335" s="40" t="s">
        <v>1897</v>
      </c>
      <c r="F335" s="6">
        <v>14975</v>
      </c>
      <c r="G335" s="5" t="s">
        <v>891</v>
      </c>
      <c r="H335" s="5" t="s">
        <v>80</v>
      </c>
      <c r="I335" s="5" t="s">
        <v>19</v>
      </c>
      <c r="J335" s="5">
        <v>80500000</v>
      </c>
      <c r="K335" s="13" t="s">
        <v>588</v>
      </c>
      <c r="L335" s="5" t="s">
        <v>900</v>
      </c>
    </row>
    <row r="336" spans="1:12" ht="101.25" x14ac:dyDescent="0.25">
      <c r="A336" s="5"/>
      <c r="B336" s="1">
        <v>340</v>
      </c>
      <c r="C336" s="5" t="s">
        <v>844</v>
      </c>
      <c r="D336" s="5" t="s">
        <v>845</v>
      </c>
      <c r="E336" s="40">
        <f>2068+18605.35+12563.27+6412.93+1494.74</f>
        <v>41144.289999999994</v>
      </c>
      <c r="F336" s="6">
        <v>44000</v>
      </c>
      <c r="G336" s="5" t="s">
        <v>891</v>
      </c>
      <c r="H336" s="5" t="s">
        <v>80</v>
      </c>
      <c r="I336" s="5" t="s">
        <v>19</v>
      </c>
      <c r="J336" s="5">
        <v>80500000</v>
      </c>
      <c r="K336" s="13" t="s">
        <v>588</v>
      </c>
      <c r="L336" s="5" t="s">
        <v>901</v>
      </c>
    </row>
    <row r="337" spans="1:12" ht="45" x14ac:dyDescent="0.25">
      <c r="A337" s="5"/>
      <c r="B337" s="5">
        <v>341</v>
      </c>
      <c r="C337" s="5" t="s">
        <v>647</v>
      </c>
      <c r="D337" s="5" t="s">
        <v>103</v>
      </c>
      <c r="E337" s="40" t="s">
        <v>1426</v>
      </c>
      <c r="F337" s="6">
        <v>1834.6</v>
      </c>
      <c r="G337" s="5" t="s">
        <v>891</v>
      </c>
      <c r="H337" s="5" t="s">
        <v>80</v>
      </c>
      <c r="I337" s="5" t="s">
        <v>19</v>
      </c>
      <c r="J337" s="5">
        <v>60400000</v>
      </c>
      <c r="K337" s="11" t="s">
        <v>3</v>
      </c>
      <c r="L337" s="5" t="s">
        <v>1204</v>
      </c>
    </row>
    <row r="338" spans="1:12" ht="45" x14ac:dyDescent="0.25">
      <c r="A338" s="5"/>
      <c r="B338" s="5">
        <v>342</v>
      </c>
      <c r="C338" s="5" t="s">
        <v>647</v>
      </c>
      <c r="D338" s="5" t="s">
        <v>103</v>
      </c>
      <c r="E338" s="40" t="s">
        <v>1428</v>
      </c>
      <c r="F338" s="6">
        <v>9506</v>
      </c>
      <c r="G338" s="5" t="s">
        <v>891</v>
      </c>
      <c r="H338" s="5" t="s">
        <v>80</v>
      </c>
      <c r="I338" s="5" t="s">
        <v>19</v>
      </c>
      <c r="J338" s="5">
        <v>60400000</v>
      </c>
      <c r="K338" s="11" t="s">
        <v>3</v>
      </c>
      <c r="L338" s="5" t="s">
        <v>1205</v>
      </c>
    </row>
    <row r="339" spans="1:12" ht="45" x14ac:dyDescent="0.25">
      <c r="A339" s="5"/>
      <c r="B339" s="1">
        <v>343</v>
      </c>
      <c r="C339" s="5" t="s">
        <v>646</v>
      </c>
      <c r="D339" s="5" t="s">
        <v>103</v>
      </c>
      <c r="E339" s="40" t="s">
        <v>1425</v>
      </c>
      <c r="F339" s="6">
        <v>3196</v>
      </c>
      <c r="G339" s="5" t="s">
        <v>891</v>
      </c>
      <c r="H339" s="5" t="s">
        <v>80</v>
      </c>
      <c r="I339" s="5" t="s">
        <v>19</v>
      </c>
      <c r="J339" s="5">
        <v>60400000</v>
      </c>
      <c r="K339" s="11" t="s">
        <v>3</v>
      </c>
      <c r="L339" s="5" t="s">
        <v>1206</v>
      </c>
    </row>
    <row r="340" spans="1:12" ht="45" x14ac:dyDescent="0.25">
      <c r="A340" s="5"/>
      <c r="B340" s="1">
        <v>344</v>
      </c>
      <c r="C340" s="5" t="s">
        <v>102</v>
      </c>
      <c r="D340" s="5" t="s">
        <v>103</v>
      </c>
      <c r="E340" s="40" t="s">
        <v>1433</v>
      </c>
      <c r="F340" s="6">
        <v>14146.4</v>
      </c>
      <c r="G340" s="5" t="s">
        <v>891</v>
      </c>
      <c r="H340" s="5" t="s">
        <v>80</v>
      </c>
      <c r="I340" s="5" t="s">
        <v>19</v>
      </c>
      <c r="J340" s="5">
        <v>60400000</v>
      </c>
      <c r="K340" s="11" t="s">
        <v>3</v>
      </c>
      <c r="L340" s="5" t="s">
        <v>1207</v>
      </c>
    </row>
    <row r="341" spans="1:12" ht="45" x14ac:dyDescent="0.25">
      <c r="A341" s="5"/>
      <c r="B341" s="1">
        <v>1</v>
      </c>
      <c r="C341" s="5" t="s">
        <v>301</v>
      </c>
      <c r="D341" s="5" t="s">
        <v>88</v>
      </c>
      <c r="E341" s="40" t="s">
        <v>2116</v>
      </c>
      <c r="F341" s="6">
        <v>1099.3900000000001</v>
      </c>
      <c r="G341" s="5" t="s">
        <v>1208</v>
      </c>
      <c r="H341" s="5" t="s">
        <v>80</v>
      </c>
      <c r="I341" s="5" t="s">
        <v>19</v>
      </c>
      <c r="J341" s="5">
        <v>55300000</v>
      </c>
      <c r="K341" s="11" t="s">
        <v>3</v>
      </c>
      <c r="L341" s="5" t="s">
        <v>1209</v>
      </c>
    </row>
    <row r="342" spans="1:12" ht="67.5" customHeight="1" x14ac:dyDescent="0.25">
      <c r="A342" s="5"/>
      <c r="B342" s="1">
        <v>2</v>
      </c>
      <c r="C342" s="5" t="s">
        <v>95</v>
      </c>
      <c r="D342" s="5" t="s">
        <v>78</v>
      </c>
      <c r="E342" s="40">
        <v>630</v>
      </c>
      <c r="F342" s="6">
        <v>630</v>
      </c>
      <c r="G342" s="5" t="s">
        <v>902</v>
      </c>
      <c r="H342" s="5" t="s">
        <v>80</v>
      </c>
      <c r="I342" s="5" t="s">
        <v>19</v>
      </c>
      <c r="J342" s="5">
        <v>92500000</v>
      </c>
      <c r="K342" s="11" t="s">
        <v>3</v>
      </c>
      <c r="L342" s="5" t="s">
        <v>1210</v>
      </c>
    </row>
    <row r="343" spans="1:12" ht="45" x14ac:dyDescent="0.25">
      <c r="A343" s="5"/>
      <c r="B343" s="5">
        <v>345</v>
      </c>
      <c r="C343" s="5" t="s">
        <v>626</v>
      </c>
      <c r="D343" s="5" t="s">
        <v>88</v>
      </c>
      <c r="E343" s="40" t="s">
        <v>1160</v>
      </c>
      <c r="F343" s="6">
        <v>1100</v>
      </c>
      <c r="G343" s="5" t="s">
        <v>902</v>
      </c>
      <c r="H343" s="5" t="s">
        <v>80</v>
      </c>
      <c r="I343" s="5" t="s">
        <v>19</v>
      </c>
      <c r="J343" s="5">
        <v>55300000</v>
      </c>
      <c r="K343" s="11" t="s">
        <v>3</v>
      </c>
      <c r="L343" s="5" t="s">
        <v>903</v>
      </c>
    </row>
    <row r="344" spans="1:12" ht="45" x14ac:dyDescent="0.25">
      <c r="A344" s="5"/>
      <c r="B344" s="5">
        <v>346</v>
      </c>
      <c r="C344" s="5" t="s">
        <v>562</v>
      </c>
      <c r="D344" s="5" t="s">
        <v>563</v>
      </c>
      <c r="E344" s="40">
        <v>140</v>
      </c>
      <c r="F344" s="6">
        <v>140</v>
      </c>
      <c r="G344" s="5" t="s">
        <v>902</v>
      </c>
      <c r="H344" s="5" t="s">
        <v>80</v>
      </c>
      <c r="I344" s="5" t="s">
        <v>19</v>
      </c>
      <c r="J344" s="5">
        <v>60100000</v>
      </c>
      <c r="K344" s="11" t="s">
        <v>3</v>
      </c>
      <c r="L344" s="5" t="s">
        <v>904</v>
      </c>
    </row>
    <row r="345" spans="1:12" ht="45" x14ac:dyDescent="0.25">
      <c r="A345" s="5"/>
      <c r="B345" s="1">
        <v>347</v>
      </c>
      <c r="C345" s="5" t="s">
        <v>846</v>
      </c>
      <c r="D345" s="5" t="s">
        <v>84</v>
      </c>
      <c r="E345" s="40" t="s">
        <v>1157</v>
      </c>
      <c r="F345" s="6">
        <v>630.96</v>
      </c>
      <c r="G345" s="5" t="s">
        <v>902</v>
      </c>
      <c r="H345" s="5" t="s">
        <v>80</v>
      </c>
      <c r="I345" s="5" t="s">
        <v>19</v>
      </c>
      <c r="J345" s="5">
        <v>55100000</v>
      </c>
      <c r="K345" s="11" t="s">
        <v>3</v>
      </c>
      <c r="L345" s="5" t="s">
        <v>905</v>
      </c>
    </row>
    <row r="346" spans="1:12" ht="45" x14ac:dyDescent="0.25">
      <c r="A346" s="5"/>
      <c r="B346" s="1">
        <v>348</v>
      </c>
      <c r="C346" s="5" t="s">
        <v>454</v>
      </c>
      <c r="D346" s="5" t="s">
        <v>563</v>
      </c>
      <c r="E346" s="40">
        <v>700</v>
      </c>
      <c r="F346" s="6">
        <v>700</v>
      </c>
      <c r="G346" s="5" t="s">
        <v>902</v>
      </c>
      <c r="H346" s="5" t="s">
        <v>80</v>
      </c>
      <c r="I346" s="5" t="s">
        <v>19</v>
      </c>
      <c r="J346" s="5">
        <v>60100000</v>
      </c>
      <c r="K346" s="11" t="s">
        <v>3</v>
      </c>
      <c r="L346" s="5" t="s">
        <v>906</v>
      </c>
    </row>
    <row r="347" spans="1:12" ht="45" x14ac:dyDescent="0.25">
      <c r="A347" s="5"/>
      <c r="B347" s="5">
        <v>349</v>
      </c>
      <c r="C347" s="5" t="s">
        <v>562</v>
      </c>
      <c r="D347" s="5" t="s">
        <v>563</v>
      </c>
      <c r="E347" s="40" t="s">
        <v>1158</v>
      </c>
      <c r="F347" s="6">
        <v>5430</v>
      </c>
      <c r="G347" s="5" t="s">
        <v>902</v>
      </c>
      <c r="H347" s="5" t="s">
        <v>80</v>
      </c>
      <c r="I347" s="5" t="s">
        <v>19</v>
      </c>
      <c r="J347" s="5">
        <v>60100000</v>
      </c>
      <c r="K347" s="11" t="s">
        <v>3</v>
      </c>
      <c r="L347" s="5" t="s">
        <v>907</v>
      </c>
    </row>
    <row r="348" spans="1:12" ht="45" x14ac:dyDescent="0.25">
      <c r="A348" s="5"/>
      <c r="B348" s="5">
        <v>350</v>
      </c>
      <c r="C348" s="5" t="s">
        <v>396</v>
      </c>
      <c r="D348" s="5" t="s">
        <v>82</v>
      </c>
      <c r="E348" s="40" t="s">
        <v>1156</v>
      </c>
      <c r="F348" s="6">
        <v>2630</v>
      </c>
      <c r="G348" s="5" t="s">
        <v>902</v>
      </c>
      <c r="H348" s="5" t="s">
        <v>80</v>
      </c>
      <c r="I348" s="5" t="s">
        <v>19</v>
      </c>
      <c r="J348" s="5">
        <v>63500000</v>
      </c>
      <c r="K348" s="11" t="s">
        <v>3</v>
      </c>
      <c r="L348" s="5" t="s">
        <v>908</v>
      </c>
    </row>
    <row r="349" spans="1:12" ht="45" x14ac:dyDescent="0.25">
      <c r="A349" s="5"/>
      <c r="B349" s="1">
        <v>351</v>
      </c>
      <c r="C349" s="5" t="s">
        <v>668</v>
      </c>
      <c r="D349" s="5" t="s">
        <v>88</v>
      </c>
      <c r="E349" s="40" t="s">
        <v>987</v>
      </c>
      <c r="F349" s="6">
        <v>1040</v>
      </c>
      <c r="G349" s="5" t="s">
        <v>902</v>
      </c>
      <c r="H349" s="5" t="s">
        <v>80</v>
      </c>
      <c r="I349" s="5" t="s">
        <v>19</v>
      </c>
      <c r="J349" s="5">
        <v>55300000</v>
      </c>
      <c r="K349" s="11" t="s">
        <v>3</v>
      </c>
      <c r="L349" s="5" t="s">
        <v>909</v>
      </c>
    </row>
    <row r="350" spans="1:12" ht="22.5" x14ac:dyDescent="0.25">
      <c r="A350" s="5"/>
      <c r="B350" s="1">
        <v>352</v>
      </c>
      <c r="C350" s="5" t="s">
        <v>847</v>
      </c>
      <c r="D350" s="5" t="s">
        <v>848</v>
      </c>
      <c r="E350" s="38">
        <v>1045</v>
      </c>
      <c r="F350" s="6">
        <v>1045</v>
      </c>
      <c r="G350" s="5" t="s">
        <v>902</v>
      </c>
      <c r="H350" s="5" t="s">
        <v>80</v>
      </c>
      <c r="I350" s="5" t="s">
        <v>19</v>
      </c>
      <c r="J350" s="5">
        <v>30100000</v>
      </c>
      <c r="K350" s="11" t="s">
        <v>910</v>
      </c>
      <c r="L350" s="5"/>
    </row>
    <row r="351" spans="1:12" ht="45" x14ac:dyDescent="0.25">
      <c r="A351" s="5"/>
      <c r="B351" s="5">
        <v>353</v>
      </c>
      <c r="C351" s="5" t="s">
        <v>849</v>
      </c>
      <c r="D351" s="5" t="s">
        <v>88</v>
      </c>
      <c r="E351" s="40">
        <v>337.3</v>
      </c>
      <c r="F351" s="6">
        <v>360</v>
      </c>
      <c r="G351" s="5" t="s">
        <v>911</v>
      </c>
      <c r="H351" s="5" t="s">
        <v>80</v>
      </c>
      <c r="I351" s="5" t="s">
        <v>19</v>
      </c>
      <c r="J351" s="5">
        <v>55300000</v>
      </c>
      <c r="K351" s="11" t="s">
        <v>3</v>
      </c>
      <c r="L351" s="5" t="s">
        <v>912</v>
      </c>
    </row>
    <row r="352" spans="1:12" ht="45" x14ac:dyDescent="0.25">
      <c r="A352" s="5"/>
      <c r="B352" s="5">
        <v>354</v>
      </c>
      <c r="C352" s="5" t="s">
        <v>850</v>
      </c>
      <c r="D352" s="5" t="s">
        <v>88</v>
      </c>
      <c r="E352" s="40" t="s">
        <v>984</v>
      </c>
      <c r="F352" s="6">
        <v>1110</v>
      </c>
      <c r="G352" s="5" t="s">
        <v>911</v>
      </c>
      <c r="H352" s="5" t="s">
        <v>80</v>
      </c>
      <c r="I352" s="5" t="s">
        <v>19</v>
      </c>
      <c r="J352" s="5">
        <v>55300000</v>
      </c>
      <c r="K352" s="11" t="s">
        <v>3</v>
      </c>
      <c r="L352" s="5" t="s">
        <v>913</v>
      </c>
    </row>
    <row r="353" spans="1:12" ht="45" x14ac:dyDescent="0.25">
      <c r="A353" s="5"/>
      <c r="B353" s="1">
        <v>355</v>
      </c>
      <c r="C353" s="5" t="s">
        <v>851</v>
      </c>
      <c r="D353" s="5" t="s">
        <v>84</v>
      </c>
      <c r="E353" s="40" t="s">
        <v>988</v>
      </c>
      <c r="F353" s="6">
        <v>1275</v>
      </c>
      <c r="G353" s="5" t="s">
        <v>911</v>
      </c>
      <c r="H353" s="5" t="s">
        <v>80</v>
      </c>
      <c r="I353" s="5" t="s">
        <v>19</v>
      </c>
      <c r="J353" s="5">
        <v>55100000</v>
      </c>
      <c r="K353" s="11" t="s">
        <v>3</v>
      </c>
      <c r="L353" s="5" t="s">
        <v>914</v>
      </c>
    </row>
    <row r="354" spans="1:12" ht="45" x14ac:dyDescent="0.25">
      <c r="A354" s="5"/>
      <c r="B354" s="1">
        <v>356</v>
      </c>
      <c r="C354" s="5" t="s">
        <v>852</v>
      </c>
      <c r="D354" s="5" t="s">
        <v>88</v>
      </c>
      <c r="E354" s="40" t="s">
        <v>986</v>
      </c>
      <c r="F354" s="6">
        <v>360</v>
      </c>
      <c r="G354" s="5" t="s">
        <v>911</v>
      </c>
      <c r="H354" s="5" t="s">
        <v>80</v>
      </c>
      <c r="I354" s="5" t="s">
        <v>19</v>
      </c>
      <c r="J354" s="5">
        <v>55300000</v>
      </c>
      <c r="K354" s="11" t="s">
        <v>3</v>
      </c>
      <c r="L354" s="5" t="s">
        <v>915</v>
      </c>
    </row>
    <row r="355" spans="1:12" ht="56.25" customHeight="1" x14ac:dyDescent="0.25">
      <c r="A355" s="5"/>
      <c r="B355" s="5">
        <v>357</v>
      </c>
      <c r="C355" s="5" t="s">
        <v>853</v>
      </c>
      <c r="D355" s="5" t="s">
        <v>854</v>
      </c>
      <c r="E355" s="40" t="s">
        <v>520</v>
      </c>
      <c r="F355" s="6">
        <v>50</v>
      </c>
      <c r="G355" s="5" t="s">
        <v>911</v>
      </c>
      <c r="H355" s="5" t="s">
        <v>80</v>
      </c>
      <c r="I355" s="5" t="s">
        <v>19</v>
      </c>
      <c r="J355" s="10" t="s">
        <v>916</v>
      </c>
      <c r="K355" s="11" t="s">
        <v>3</v>
      </c>
      <c r="L355" s="5" t="s">
        <v>917</v>
      </c>
    </row>
    <row r="356" spans="1:12" ht="45" x14ac:dyDescent="0.25">
      <c r="A356" s="5"/>
      <c r="B356" s="5">
        <v>358</v>
      </c>
      <c r="C356" s="5" t="s">
        <v>665</v>
      </c>
      <c r="D356" s="5" t="s">
        <v>88</v>
      </c>
      <c r="E356" s="40">
        <v>175.94</v>
      </c>
      <c r="F356" s="6">
        <v>180</v>
      </c>
      <c r="G356" s="5" t="s">
        <v>911</v>
      </c>
      <c r="H356" s="5" t="s">
        <v>80</v>
      </c>
      <c r="I356" s="5" t="s">
        <v>19</v>
      </c>
      <c r="J356" s="5">
        <v>55300000</v>
      </c>
      <c r="K356" s="11" t="s">
        <v>3</v>
      </c>
      <c r="L356" s="5" t="s">
        <v>985</v>
      </c>
    </row>
    <row r="357" spans="1:12" ht="90" x14ac:dyDescent="0.25">
      <c r="A357" s="5"/>
      <c r="B357" s="1">
        <v>359</v>
      </c>
      <c r="C357" s="5" t="s">
        <v>855</v>
      </c>
      <c r="D357" s="5" t="s">
        <v>856</v>
      </c>
      <c r="E357" s="40" t="s">
        <v>1474</v>
      </c>
      <c r="F357" s="6">
        <v>46930</v>
      </c>
      <c r="G357" s="5" t="s">
        <v>911</v>
      </c>
      <c r="H357" s="5" t="s">
        <v>80</v>
      </c>
      <c r="I357" s="5" t="s">
        <v>19</v>
      </c>
      <c r="J357" s="10" t="s">
        <v>918</v>
      </c>
      <c r="K357" s="13" t="s">
        <v>919</v>
      </c>
      <c r="L357" s="5" t="s">
        <v>920</v>
      </c>
    </row>
    <row r="358" spans="1:12" ht="101.25" x14ac:dyDescent="0.25">
      <c r="A358" s="5"/>
      <c r="B358" s="1">
        <v>360</v>
      </c>
      <c r="C358" s="5" t="s">
        <v>857</v>
      </c>
      <c r="D358" s="5" t="s">
        <v>858</v>
      </c>
      <c r="E358" s="40" t="s">
        <v>1188</v>
      </c>
      <c r="F358" s="6">
        <v>3660</v>
      </c>
      <c r="G358" s="5" t="s">
        <v>911</v>
      </c>
      <c r="H358" s="5" t="s">
        <v>80</v>
      </c>
      <c r="I358" s="5" t="s">
        <v>19</v>
      </c>
      <c r="J358" s="10" t="s">
        <v>918</v>
      </c>
      <c r="K358" s="13" t="s">
        <v>281</v>
      </c>
      <c r="L358" s="5" t="s">
        <v>921</v>
      </c>
    </row>
    <row r="359" spans="1:12" ht="39" customHeight="1" x14ac:dyDescent="0.25">
      <c r="A359" s="5"/>
      <c r="B359" s="5">
        <v>361</v>
      </c>
      <c r="C359" s="57" t="s">
        <v>859</v>
      </c>
      <c r="D359" s="5" t="s">
        <v>860</v>
      </c>
      <c r="E359" s="40">
        <f>1642.6+14783.37+9870.75+4936.4+1099.85</f>
        <v>32332.97</v>
      </c>
      <c r="F359" s="6">
        <v>32332.97</v>
      </c>
      <c r="G359" s="7" t="s">
        <v>922</v>
      </c>
      <c r="H359" s="8" t="s">
        <v>80</v>
      </c>
      <c r="I359" s="5" t="s">
        <v>19</v>
      </c>
      <c r="J359" s="10" t="s">
        <v>923</v>
      </c>
      <c r="K359" s="13" t="s">
        <v>588</v>
      </c>
      <c r="L359" s="5" t="s">
        <v>924</v>
      </c>
    </row>
    <row r="360" spans="1:12" ht="36.75" customHeight="1" x14ac:dyDescent="0.25">
      <c r="A360" s="5"/>
      <c r="B360" s="5">
        <v>362</v>
      </c>
      <c r="C360" s="5" t="s">
        <v>861</v>
      </c>
      <c r="D360" s="5" t="s">
        <v>862</v>
      </c>
      <c r="E360" s="38">
        <f>3450+2555</f>
        <v>6005</v>
      </c>
      <c r="F360" s="6">
        <v>8770</v>
      </c>
      <c r="G360" s="7" t="s">
        <v>922</v>
      </c>
      <c r="H360" s="8" t="s">
        <v>26</v>
      </c>
      <c r="I360" s="5" t="s">
        <v>9</v>
      </c>
      <c r="J360" s="10" t="s">
        <v>925</v>
      </c>
      <c r="K360" s="5" t="s">
        <v>926</v>
      </c>
      <c r="L360" s="5"/>
    </row>
    <row r="361" spans="1:12" ht="45" x14ac:dyDescent="0.25">
      <c r="A361" s="5"/>
      <c r="B361" s="1">
        <v>363</v>
      </c>
      <c r="C361" s="5" t="s">
        <v>863</v>
      </c>
      <c r="D361" s="5" t="s">
        <v>294</v>
      </c>
      <c r="E361" s="40" t="s">
        <v>1177</v>
      </c>
      <c r="F361" s="6">
        <v>2997.2</v>
      </c>
      <c r="G361" s="7" t="s">
        <v>922</v>
      </c>
      <c r="H361" s="8" t="s">
        <v>80</v>
      </c>
      <c r="I361" s="5" t="s">
        <v>19</v>
      </c>
      <c r="J361" s="10" t="s">
        <v>927</v>
      </c>
      <c r="K361" s="5" t="s">
        <v>3</v>
      </c>
      <c r="L361" s="5" t="s">
        <v>928</v>
      </c>
    </row>
    <row r="362" spans="1:12" ht="90" x14ac:dyDescent="0.25">
      <c r="A362" s="5"/>
      <c r="B362" s="1">
        <v>364</v>
      </c>
      <c r="C362" s="5" t="s">
        <v>864</v>
      </c>
      <c r="D362" s="5" t="s">
        <v>865</v>
      </c>
      <c r="E362" s="40">
        <f>120110+21613.5</f>
        <v>141723.5</v>
      </c>
      <c r="F362" s="6">
        <v>147500</v>
      </c>
      <c r="G362" s="7" t="s">
        <v>922</v>
      </c>
      <c r="H362" s="8" t="s">
        <v>80</v>
      </c>
      <c r="I362" s="5" t="s">
        <v>19</v>
      </c>
      <c r="J362" s="10" t="s">
        <v>929</v>
      </c>
      <c r="K362" s="5" t="s">
        <v>588</v>
      </c>
      <c r="L362" s="5" t="s">
        <v>930</v>
      </c>
    </row>
    <row r="363" spans="1:12" ht="45" x14ac:dyDescent="0.25">
      <c r="A363" s="5"/>
      <c r="B363" s="5">
        <v>365</v>
      </c>
      <c r="C363" s="5" t="s">
        <v>668</v>
      </c>
      <c r="D363" s="5" t="s">
        <v>88</v>
      </c>
      <c r="E363" s="40" t="s">
        <v>992</v>
      </c>
      <c r="F363" s="6">
        <v>1100</v>
      </c>
      <c r="G363" s="7" t="s">
        <v>922</v>
      </c>
      <c r="H363" s="8" t="s">
        <v>80</v>
      </c>
      <c r="I363" s="5" t="s">
        <v>19</v>
      </c>
      <c r="J363" s="10" t="s">
        <v>927</v>
      </c>
      <c r="K363" s="5" t="s">
        <v>3</v>
      </c>
      <c r="L363" s="5" t="s">
        <v>931</v>
      </c>
    </row>
    <row r="364" spans="1:12" ht="45" x14ac:dyDescent="0.25">
      <c r="A364" s="5"/>
      <c r="B364" s="5">
        <v>366</v>
      </c>
      <c r="C364" s="5" t="s">
        <v>506</v>
      </c>
      <c r="D364" s="5" t="s">
        <v>866</v>
      </c>
      <c r="E364" s="40">
        <v>162</v>
      </c>
      <c r="F364" s="6">
        <v>162</v>
      </c>
      <c r="G364" s="7" t="s">
        <v>932</v>
      </c>
      <c r="H364" s="8" t="s">
        <v>80</v>
      </c>
      <c r="I364" s="5" t="s">
        <v>19</v>
      </c>
      <c r="J364" s="10" t="s">
        <v>933</v>
      </c>
      <c r="K364" s="13" t="s">
        <v>10</v>
      </c>
      <c r="L364" s="5" t="s">
        <v>1203</v>
      </c>
    </row>
    <row r="365" spans="1:12" ht="45" x14ac:dyDescent="0.25">
      <c r="A365" s="5"/>
      <c r="B365" s="1">
        <v>367</v>
      </c>
      <c r="C365" s="5" t="s">
        <v>867</v>
      </c>
      <c r="D365" s="5" t="s">
        <v>868</v>
      </c>
      <c r="E365" s="40" t="s">
        <v>1193</v>
      </c>
      <c r="F365" s="6">
        <v>1000</v>
      </c>
      <c r="G365" s="7" t="s">
        <v>934</v>
      </c>
      <c r="H365" s="8" t="s">
        <v>80</v>
      </c>
      <c r="I365" s="5" t="s">
        <v>19</v>
      </c>
      <c r="J365" s="10" t="s">
        <v>935</v>
      </c>
      <c r="K365" s="13" t="s">
        <v>10</v>
      </c>
      <c r="L365" s="5" t="s">
        <v>936</v>
      </c>
    </row>
    <row r="366" spans="1:12" ht="45" x14ac:dyDescent="0.25">
      <c r="A366" s="5"/>
      <c r="B366" s="1">
        <v>368</v>
      </c>
      <c r="C366" s="5" t="s">
        <v>867</v>
      </c>
      <c r="D366" s="5" t="s">
        <v>869</v>
      </c>
      <c r="E366" s="40" t="s">
        <v>1192</v>
      </c>
      <c r="F366" s="6">
        <v>202.5</v>
      </c>
      <c r="G366" s="7" t="s">
        <v>934</v>
      </c>
      <c r="H366" s="8" t="s">
        <v>80</v>
      </c>
      <c r="I366" s="5" t="s">
        <v>19</v>
      </c>
      <c r="J366" s="10" t="s">
        <v>937</v>
      </c>
      <c r="K366" s="13" t="s">
        <v>10</v>
      </c>
      <c r="L366" s="5" t="s">
        <v>938</v>
      </c>
    </row>
    <row r="367" spans="1:12" ht="101.25" x14ac:dyDescent="0.25">
      <c r="A367" s="5"/>
      <c r="B367" s="5">
        <v>369</v>
      </c>
      <c r="C367" s="5" t="s">
        <v>870</v>
      </c>
      <c r="D367" s="5" t="s">
        <v>871</v>
      </c>
      <c r="E367" s="40">
        <f>10124.4*2</f>
        <v>20248.8</v>
      </c>
      <c r="F367" s="6">
        <v>50622</v>
      </c>
      <c r="G367" s="7" t="s">
        <v>934</v>
      </c>
      <c r="H367" s="8" t="s">
        <v>26</v>
      </c>
      <c r="I367" s="5" t="s">
        <v>19</v>
      </c>
      <c r="J367" s="10" t="s">
        <v>929</v>
      </c>
      <c r="K367" s="13" t="s">
        <v>588</v>
      </c>
      <c r="L367" s="5" t="s">
        <v>939</v>
      </c>
    </row>
    <row r="368" spans="1:12" ht="22.5" x14ac:dyDescent="0.25">
      <c r="A368" s="5"/>
      <c r="B368" s="5">
        <v>370</v>
      </c>
      <c r="C368" s="5" t="s">
        <v>872</v>
      </c>
      <c r="D368" s="5" t="s">
        <v>873</v>
      </c>
      <c r="E368" s="42">
        <f>540+810+260+403</f>
        <v>2013</v>
      </c>
      <c r="F368" s="6">
        <v>7999</v>
      </c>
      <c r="G368" s="7" t="s">
        <v>934</v>
      </c>
      <c r="H368" s="8" t="s">
        <v>26</v>
      </c>
      <c r="I368" s="5" t="s">
        <v>9</v>
      </c>
      <c r="J368" s="10" t="s">
        <v>940</v>
      </c>
      <c r="K368" s="5" t="s">
        <v>941</v>
      </c>
      <c r="L368" s="5"/>
    </row>
    <row r="369" spans="1:12" ht="45" x14ac:dyDescent="0.25">
      <c r="A369" s="5"/>
      <c r="B369" s="1">
        <v>371</v>
      </c>
      <c r="C369" s="5" t="s">
        <v>648</v>
      </c>
      <c r="D369" s="5" t="s">
        <v>84</v>
      </c>
      <c r="E369" s="40" t="s">
        <v>1189</v>
      </c>
      <c r="F369" s="6">
        <v>560</v>
      </c>
      <c r="G369" s="7" t="s">
        <v>934</v>
      </c>
      <c r="H369" s="8" t="s">
        <v>80</v>
      </c>
      <c r="I369" s="5" t="s">
        <v>19</v>
      </c>
      <c r="J369" s="10" t="s">
        <v>942</v>
      </c>
      <c r="K369" s="5" t="s">
        <v>3</v>
      </c>
      <c r="L369" s="5" t="s">
        <v>1174</v>
      </c>
    </row>
    <row r="370" spans="1:12" ht="45" x14ac:dyDescent="0.25">
      <c r="A370" s="5"/>
      <c r="B370" s="1">
        <v>372</v>
      </c>
      <c r="C370" s="5" t="s">
        <v>648</v>
      </c>
      <c r="D370" s="5" t="s">
        <v>88</v>
      </c>
      <c r="E370" s="40">
        <v>58</v>
      </c>
      <c r="F370" s="6">
        <v>360</v>
      </c>
      <c r="G370" s="7" t="s">
        <v>934</v>
      </c>
      <c r="H370" s="8" t="s">
        <v>80</v>
      </c>
      <c r="I370" s="5" t="s">
        <v>19</v>
      </c>
      <c r="J370" s="10" t="s">
        <v>927</v>
      </c>
      <c r="K370" s="20" t="s">
        <v>3</v>
      </c>
      <c r="L370" s="5" t="s">
        <v>1175</v>
      </c>
    </row>
    <row r="371" spans="1:12" ht="45" x14ac:dyDescent="0.25">
      <c r="A371" s="5"/>
      <c r="B371" s="5">
        <v>373</v>
      </c>
      <c r="C371" s="5" t="s">
        <v>874</v>
      </c>
      <c r="D371" s="5" t="s">
        <v>563</v>
      </c>
      <c r="E371" s="40">
        <v>790</v>
      </c>
      <c r="F371" s="6">
        <v>790</v>
      </c>
      <c r="G371" s="7" t="s">
        <v>934</v>
      </c>
      <c r="H371" s="8" t="s">
        <v>80</v>
      </c>
      <c r="I371" s="5" t="s">
        <v>19</v>
      </c>
      <c r="J371" s="10" t="s">
        <v>943</v>
      </c>
      <c r="K371" s="11" t="s">
        <v>3</v>
      </c>
      <c r="L371" s="5" t="s">
        <v>1176</v>
      </c>
    </row>
    <row r="372" spans="1:12" ht="45" x14ac:dyDescent="0.25">
      <c r="A372" s="5"/>
      <c r="B372" s="5">
        <v>374</v>
      </c>
      <c r="C372" s="5" t="s">
        <v>850</v>
      </c>
      <c r="D372" s="5" t="s">
        <v>88</v>
      </c>
      <c r="E372" s="40" t="s">
        <v>1171</v>
      </c>
      <c r="F372" s="6">
        <v>120</v>
      </c>
      <c r="G372" s="7" t="s">
        <v>934</v>
      </c>
      <c r="H372" s="8" t="s">
        <v>80</v>
      </c>
      <c r="I372" s="5" t="s">
        <v>19</v>
      </c>
      <c r="J372" s="10" t="s">
        <v>927</v>
      </c>
      <c r="K372" s="11" t="s">
        <v>3</v>
      </c>
      <c r="L372" s="5" t="s">
        <v>1168</v>
      </c>
    </row>
    <row r="373" spans="1:12" ht="45" x14ac:dyDescent="0.25">
      <c r="A373" s="5"/>
      <c r="B373" s="1">
        <v>375</v>
      </c>
      <c r="C373" s="5" t="s">
        <v>637</v>
      </c>
      <c r="D373" s="5" t="s">
        <v>88</v>
      </c>
      <c r="E373" s="40" t="s">
        <v>1523</v>
      </c>
      <c r="F373" s="6">
        <v>100</v>
      </c>
      <c r="G373" s="7" t="s">
        <v>934</v>
      </c>
      <c r="H373" s="8" t="s">
        <v>80</v>
      </c>
      <c r="I373" s="5" t="s">
        <v>19</v>
      </c>
      <c r="J373" s="10" t="s">
        <v>927</v>
      </c>
      <c r="K373" s="11" t="s">
        <v>3</v>
      </c>
      <c r="L373" s="5" t="s">
        <v>1169</v>
      </c>
    </row>
    <row r="374" spans="1:12" ht="45" x14ac:dyDescent="0.25">
      <c r="A374" s="5"/>
      <c r="B374" s="1">
        <v>376</v>
      </c>
      <c r="C374" s="5" t="s">
        <v>875</v>
      </c>
      <c r="D374" s="5" t="s">
        <v>88</v>
      </c>
      <c r="E374" s="40" t="s">
        <v>1173</v>
      </c>
      <c r="F374" s="6">
        <v>100</v>
      </c>
      <c r="G374" s="7" t="s">
        <v>934</v>
      </c>
      <c r="H374" s="8" t="s">
        <v>80</v>
      </c>
      <c r="I374" s="5" t="s">
        <v>19</v>
      </c>
      <c r="J374" s="10" t="s">
        <v>927</v>
      </c>
      <c r="K374" s="11" t="s">
        <v>3</v>
      </c>
      <c r="L374" s="5" t="s">
        <v>1170</v>
      </c>
    </row>
    <row r="375" spans="1:12" ht="45" x14ac:dyDescent="0.25">
      <c r="A375" s="5"/>
      <c r="B375" s="5">
        <v>377</v>
      </c>
      <c r="C375" s="5" t="s">
        <v>876</v>
      </c>
      <c r="D375" s="5" t="s">
        <v>88</v>
      </c>
      <c r="E375" s="40">
        <v>120</v>
      </c>
      <c r="F375" s="6">
        <v>100</v>
      </c>
      <c r="G375" s="7" t="s">
        <v>934</v>
      </c>
      <c r="H375" s="8" t="s">
        <v>80</v>
      </c>
      <c r="I375" s="5" t="s">
        <v>19</v>
      </c>
      <c r="J375" s="10" t="s">
        <v>927</v>
      </c>
      <c r="K375" s="11" t="s">
        <v>3</v>
      </c>
      <c r="L375" s="5" t="s">
        <v>1163</v>
      </c>
    </row>
    <row r="376" spans="1:12" ht="45" x14ac:dyDescent="0.25">
      <c r="A376" s="5"/>
      <c r="B376" s="1">
        <v>380</v>
      </c>
      <c r="C376" s="5" t="s">
        <v>408</v>
      </c>
      <c r="D376" s="5" t="s">
        <v>84</v>
      </c>
      <c r="E376" s="40">
        <v>180</v>
      </c>
      <c r="F376" s="6">
        <v>180</v>
      </c>
      <c r="G376" s="7" t="s">
        <v>934</v>
      </c>
      <c r="H376" s="8" t="s">
        <v>80</v>
      </c>
      <c r="I376" s="5" t="s">
        <v>19</v>
      </c>
      <c r="J376" s="10" t="s">
        <v>942</v>
      </c>
      <c r="K376" s="11" t="s">
        <v>3</v>
      </c>
      <c r="L376" s="5" t="s">
        <v>1164</v>
      </c>
    </row>
    <row r="377" spans="1:12" ht="45" x14ac:dyDescent="0.25">
      <c r="A377" s="5"/>
      <c r="B377" s="5">
        <v>381</v>
      </c>
      <c r="C377" s="5" t="s">
        <v>877</v>
      </c>
      <c r="D377" s="5" t="s">
        <v>84</v>
      </c>
      <c r="E377" s="40">
        <v>200</v>
      </c>
      <c r="F377" s="6">
        <v>200</v>
      </c>
      <c r="G377" s="7" t="s">
        <v>934</v>
      </c>
      <c r="H377" s="8" t="s">
        <v>80</v>
      </c>
      <c r="I377" s="5" t="s">
        <v>19</v>
      </c>
      <c r="J377" s="10" t="s">
        <v>942</v>
      </c>
      <c r="K377" s="11" t="s">
        <v>3</v>
      </c>
      <c r="L377" s="5" t="s">
        <v>1165</v>
      </c>
    </row>
    <row r="378" spans="1:12" ht="45" x14ac:dyDescent="0.25">
      <c r="A378" s="5"/>
      <c r="B378" s="5">
        <v>382</v>
      </c>
      <c r="C378" s="5" t="s">
        <v>626</v>
      </c>
      <c r="D378" s="5" t="s">
        <v>84</v>
      </c>
      <c r="E378" s="40">
        <v>495.02</v>
      </c>
      <c r="F378" s="58">
        <v>490</v>
      </c>
      <c r="G378" s="7" t="s">
        <v>934</v>
      </c>
      <c r="H378" s="8" t="s">
        <v>80</v>
      </c>
      <c r="I378" s="5" t="s">
        <v>19</v>
      </c>
      <c r="J378" s="10" t="s">
        <v>942</v>
      </c>
      <c r="K378" s="11" t="s">
        <v>3</v>
      </c>
      <c r="L378" s="5" t="s">
        <v>1166</v>
      </c>
    </row>
    <row r="379" spans="1:12" ht="45" x14ac:dyDescent="0.25">
      <c r="A379" s="5"/>
      <c r="B379" s="1">
        <v>383</v>
      </c>
      <c r="C379" s="5" t="s">
        <v>878</v>
      </c>
      <c r="D379" s="5" t="s">
        <v>563</v>
      </c>
      <c r="E379" s="59" t="s">
        <v>1162</v>
      </c>
      <c r="F379" s="6">
        <v>1410</v>
      </c>
      <c r="G379" s="7" t="s">
        <v>934</v>
      </c>
      <c r="H379" s="8" t="s">
        <v>80</v>
      </c>
      <c r="I379" s="5" t="s">
        <v>19</v>
      </c>
      <c r="J379" s="10" t="s">
        <v>943</v>
      </c>
      <c r="K379" s="11" t="s">
        <v>3</v>
      </c>
      <c r="L379" s="5" t="s">
        <v>1161</v>
      </c>
    </row>
    <row r="380" spans="1:12" ht="45" x14ac:dyDescent="0.25">
      <c r="A380" s="5"/>
      <c r="B380" s="1">
        <v>384</v>
      </c>
      <c r="C380" s="5" t="s">
        <v>878</v>
      </c>
      <c r="D380" s="5" t="s">
        <v>82</v>
      </c>
      <c r="E380" s="40" t="s">
        <v>1172</v>
      </c>
      <c r="F380" s="6">
        <v>1030</v>
      </c>
      <c r="G380" s="7" t="s">
        <v>934</v>
      </c>
      <c r="H380" s="8" t="s">
        <v>80</v>
      </c>
      <c r="I380" s="5" t="s">
        <v>19</v>
      </c>
      <c r="J380" s="10" t="s">
        <v>944</v>
      </c>
      <c r="K380" s="11" t="s">
        <v>3</v>
      </c>
      <c r="L380" s="5" t="s">
        <v>1167</v>
      </c>
    </row>
    <row r="381" spans="1:12" ht="45" x14ac:dyDescent="0.25">
      <c r="A381" s="5"/>
      <c r="B381" s="5">
        <v>385</v>
      </c>
      <c r="C381" s="5" t="s">
        <v>646</v>
      </c>
      <c r="D381" s="5" t="s">
        <v>103</v>
      </c>
      <c r="E381" s="40" t="s">
        <v>2117</v>
      </c>
      <c r="F381" s="6">
        <v>2602</v>
      </c>
      <c r="G381" s="7" t="s">
        <v>945</v>
      </c>
      <c r="H381" s="8" t="s">
        <v>80</v>
      </c>
      <c r="I381" s="5" t="s">
        <v>19</v>
      </c>
      <c r="J381" s="10" t="s">
        <v>946</v>
      </c>
      <c r="K381" s="11" t="s">
        <v>3</v>
      </c>
      <c r="L381" s="5" t="s">
        <v>1083</v>
      </c>
    </row>
    <row r="382" spans="1:12" ht="45" x14ac:dyDescent="0.25">
      <c r="A382" s="5"/>
      <c r="B382" s="5">
        <v>386</v>
      </c>
      <c r="C382" s="5" t="s">
        <v>396</v>
      </c>
      <c r="D382" s="5" t="s">
        <v>82</v>
      </c>
      <c r="E382" s="40" t="s">
        <v>1155</v>
      </c>
      <c r="F382" s="6">
        <v>437.5</v>
      </c>
      <c r="G382" s="7" t="s">
        <v>945</v>
      </c>
      <c r="H382" s="8" t="s">
        <v>80</v>
      </c>
      <c r="I382" s="5" t="s">
        <v>19</v>
      </c>
      <c r="J382" s="10" t="s">
        <v>944</v>
      </c>
      <c r="K382" s="11" t="s">
        <v>3</v>
      </c>
      <c r="L382" s="5" t="s">
        <v>947</v>
      </c>
    </row>
    <row r="383" spans="1:12" ht="45" x14ac:dyDescent="0.25">
      <c r="A383" s="5"/>
      <c r="B383" s="1">
        <v>387</v>
      </c>
      <c r="C383" s="5" t="s">
        <v>396</v>
      </c>
      <c r="D383" s="5" t="s">
        <v>563</v>
      </c>
      <c r="E383" s="40">
        <v>500</v>
      </c>
      <c r="F383" s="6">
        <v>500</v>
      </c>
      <c r="G383" s="7" t="s">
        <v>945</v>
      </c>
      <c r="H383" s="8" t="s">
        <v>80</v>
      </c>
      <c r="I383" s="5" t="s">
        <v>19</v>
      </c>
      <c r="J383" s="10" t="s">
        <v>943</v>
      </c>
      <c r="K383" s="11" t="s">
        <v>3</v>
      </c>
      <c r="L383" s="5" t="s">
        <v>948</v>
      </c>
    </row>
    <row r="384" spans="1:12" ht="45" x14ac:dyDescent="0.25">
      <c r="A384" s="5"/>
      <c r="B384" s="1">
        <v>388</v>
      </c>
      <c r="C384" s="5" t="s">
        <v>879</v>
      </c>
      <c r="D384" s="5" t="s">
        <v>563</v>
      </c>
      <c r="E384" s="40" t="s">
        <v>500</v>
      </c>
      <c r="F384" s="6">
        <v>2250</v>
      </c>
      <c r="G384" s="7" t="s">
        <v>949</v>
      </c>
      <c r="H384" s="8" t="s">
        <v>80</v>
      </c>
      <c r="I384" s="5" t="s">
        <v>19</v>
      </c>
      <c r="J384" s="10" t="s">
        <v>943</v>
      </c>
      <c r="K384" s="11" t="s">
        <v>3</v>
      </c>
      <c r="L384" s="5" t="s">
        <v>1179</v>
      </c>
    </row>
    <row r="385" spans="1:12" ht="45" x14ac:dyDescent="0.25">
      <c r="A385" s="5"/>
      <c r="B385" s="5">
        <v>389</v>
      </c>
      <c r="C385" s="60" t="s">
        <v>113</v>
      </c>
      <c r="D385" s="60" t="s">
        <v>84</v>
      </c>
      <c r="E385" s="40">
        <v>105</v>
      </c>
      <c r="F385" s="61">
        <v>105</v>
      </c>
      <c r="G385" s="7" t="s">
        <v>949</v>
      </c>
      <c r="H385" s="8" t="s">
        <v>80</v>
      </c>
      <c r="I385" s="5" t="s">
        <v>19</v>
      </c>
      <c r="J385" s="62" t="s">
        <v>942</v>
      </c>
      <c r="K385" s="11" t="s">
        <v>3</v>
      </c>
      <c r="L385" s="5" t="s">
        <v>1180</v>
      </c>
    </row>
    <row r="386" spans="1:12" ht="45" x14ac:dyDescent="0.25">
      <c r="A386" s="5"/>
      <c r="B386" s="5">
        <v>390</v>
      </c>
      <c r="C386" s="60" t="s">
        <v>113</v>
      </c>
      <c r="D386" s="5" t="s">
        <v>78</v>
      </c>
      <c r="E386" s="40" t="s">
        <v>1469</v>
      </c>
      <c r="F386" s="6">
        <v>10</v>
      </c>
      <c r="G386" s="7" t="s">
        <v>949</v>
      </c>
      <c r="H386" s="8" t="s">
        <v>80</v>
      </c>
      <c r="I386" s="5" t="s">
        <v>19</v>
      </c>
      <c r="J386" s="10" t="s">
        <v>950</v>
      </c>
      <c r="K386" s="11" t="s">
        <v>3</v>
      </c>
      <c r="L386" s="5" t="s">
        <v>1181</v>
      </c>
    </row>
    <row r="387" spans="1:12" ht="45" x14ac:dyDescent="0.25">
      <c r="A387" s="5"/>
      <c r="B387" s="1">
        <v>391</v>
      </c>
      <c r="C387" s="5" t="s">
        <v>880</v>
      </c>
      <c r="D387" s="5" t="s">
        <v>88</v>
      </c>
      <c r="E387" s="40">
        <v>495.6</v>
      </c>
      <c r="F387" s="6">
        <v>495.6</v>
      </c>
      <c r="G387" s="7" t="s">
        <v>949</v>
      </c>
      <c r="H387" s="8" t="s">
        <v>80</v>
      </c>
      <c r="I387" s="5" t="s">
        <v>19</v>
      </c>
      <c r="J387" s="10" t="s">
        <v>927</v>
      </c>
      <c r="K387" s="11" t="s">
        <v>3</v>
      </c>
      <c r="L387" s="5" t="s">
        <v>1182</v>
      </c>
    </row>
    <row r="388" spans="1:12" ht="45" x14ac:dyDescent="0.25">
      <c r="A388" s="5"/>
      <c r="B388" s="1">
        <v>392</v>
      </c>
      <c r="C388" s="5" t="s">
        <v>881</v>
      </c>
      <c r="D388" s="5" t="s">
        <v>294</v>
      </c>
      <c r="E388" s="40" t="s">
        <v>1898</v>
      </c>
      <c r="F388" s="6">
        <v>7139</v>
      </c>
      <c r="G388" s="7" t="s">
        <v>949</v>
      </c>
      <c r="H388" s="8" t="s">
        <v>80</v>
      </c>
      <c r="I388" s="5" t="s">
        <v>19</v>
      </c>
      <c r="J388" s="10" t="s">
        <v>927</v>
      </c>
      <c r="K388" s="11" t="s">
        <v>3</v>
      </c>
      <c r="L388" s="5" t="s">
        <v>1183</v>
      </c>
    </row>
    <row r="389" spans="1:12" ht="45" x14ac:dyDescent="0.25">
      <c r="A389" s="5"/>
      <c r="B389" s="5">
        <v>393</v>
      </c>
      <c r="C389" s="5" t="s">
        <v>881</v>
      </c>
      <c r="D389" s="5" t="s">
        <v>294</v>
      </c>
      <c r="E389" s="40" t="s">
        <v>1877</v>
      </c>
      <c r="F389" s="6">
        <v>10384</v>
      </c>
      <c r="G389" s="7" t="s">
        <v>949</v>
      </c>
      <c r="H389" s="8" t="s">
        <v>80</v>
      </c>
      <c r="I389" s="5" t="s">
        <v>19</v>
      </c>
      <c r="J389" s="10" t="s">
        <v>927</v>
      </c>
      <c r="K389" s="11" t="s">
        <v>3</v>
      </c>
      <c r="L389" s="5" t="s">
        <v>1184</v>
      </c>
    </row>
    <row r="390" spans="1:12" ht="90" x14ac:dyDescent="0.25">
      <c r="A390" s="5"/>
      <c r="B390" s="5">
        <v>394</v>
      </c>
      <c r="C390" s="5" t="s">
        <v>882</v>
      </c>
      <c r="D390" s="5" t="s">
        <v>883</v>
      </c>
      <c r="E390" s="40" t="s">
        <v>1461</v>
      </c>
      <c r="F390" s="6">
        <v>1419.55</v>
      </c>
      <c r="G390" s="7" t="s">
        <v>949</v>
      </c>
      <c r="H390" s="8" t="s">
        <v>80</v>
      </c>
      <c r="I390" s="5" t="s">
        <v>19</v>
      </c>
      <c r="J390" s="10" t="s">
        <v>951</v>
      </c>
      <c r="K390" s="5" t="s">
        <v>588</v>
      </c>
      <c r="L390" s="5" t="s">
        <v>1185</v>
      </c>
    </row>
    <row r="391" spans="1:12" ht="45" x14ac:dyDescent="0.25">
      <c r="A391" s="5"/>
      <c r="B391" s="1">
        <v>395</v>
      </c>
      <c r="C391" s="5" t="s">
        <v>884</v>
      </c>
      <c r="D391" s="5" t="s">
        <v>885</v>
      </c>
      <c r="E391" s="40">
        <v>553.37</v>
      </c>
      <c r="F391" s="6">
        <v>827.45</v>
      </c>
      <c r="G391" s="7" t="s">
        <v>949</v>
      </c>
      <c r="H391" s="8" t="s">
        <v>80</v>
      </c>
      <c r="I391" s="5" t="s">
        <v>19</v>
      </c>
      <c r="J391" s="10" t="s">
        <v>952</v>
      </c>
      <c r="K391" s="5" t="s">
        <v>953</v>
      </c>
      <c r="L391" s="5" t="s">
        <v>1186</v>
      </c>
    </row>
    <row r="392" spans="1:12" ht="45" x14ac:dyDescent="0.25">
      <c r="A392" s="5"/>
      <c r="B392" s="1">
        <v>396</v>
      </c>
      <c r="C392" s="5" t="s">
        <v>884</v>
      </c>
      <c r="D392" s="63" t="s">
        <v>4</v>
      </c>
      <c r="E392" s="40">
        <v>827.45</v>
      </c>
      <c r="F392" s="6">
        <v>553.37</v>
      </c>
      <c r="G392" s="7" t="s">
        <v>949</v>
      </c>
      <c r="H392" s="8" t="s">
        <v>80</v>
      </c>
      <c r="I392" s="5" t="s">
        <v>19</v>
      </c>
      <c r="J392" s="10" t="s">
        <v>954</v>
      </c>
      <c r="K392" s="5" t="s">
        <v>953</v>
      </c>
      <c r="L392" s="5" t="s">
        <v>1187</v>
      </c>
    </row>
    <row r="393" spans="1:12" ht="45" x14ac:dyDescent="0.25">
      <c r="A393" s="5"/>
      <c r="B393" s="5">
        <v>397</v>
      </c>
      <c r="C393" s="5" t="s">
        <v>996</v>
      </c>
      <c r="D393" s="63" t="s">
        <v>4</v>
      </c>
      <c r="E393" s="40" t="s">
        <v>1199</v>
      </c>
      <c r="F393" s="6">
        <v>120</v>
      </c>
      <c r="G393" s="7" t="s">
        <v>949</v>
      </c>
      <c r="H393" s="8" t="s">
        <v>80</v>
      </c>
      <c r="I393" s="5" t="s">
        <v>19</v>
      </c>
      <c r="J393" s="10" t="s">
        <v>927</v>
      </c>
      <c r="K393" s="11" t="s">
        <v>3</v>
      </c>
      <c r="L393" s="5" t="s">
        <v>1066</v>
      </c>
    </row>
    <row r="394" spans="1:12" ht="45" x14ac:dyDescent="0.25">
      <c r="A394" s="5"/>
      <c r="B394" s="5">
        <v>398</v>
      </c>
      <c r="C394" s="5" t="s">
        <v>997</v>
      </c>
      <c r="D394" s="5" t="s">
        <v>103</v>
      </c>
      <c r="E394" s="40" t="s">
        <v>1427</v>
      </c>
      <c r="F394" s="6">
        <v>3765</v>
      </c>
      <c r="G394" s="7" t="s">
        <v>1067</v>
      </c>
      <c r="H394" s="8" t="s">
        <v>80</v>
      </c>
      <c r="I394" s="5" t="s">
        <v>19</v>
      </c>
      <c r="J394" s="10" t="s">
        <v>946</v>
      </c>
      <c r="K394" s="11" t="s">
        <v>3</v>
      </c>
      <c r="L394" s="5" t="s">
        <v>1068</v>
      </c>
    </row>
    <row r="395" spans="1:12" ht="45" x14ac:dyDescent="0.25">
      <c r="A395" s="5"/>
      <c r="B395" s="1">
        <v>399</v>
      </c>
      <c r="C395" s="5" t="s">
        <v>998</v>
      </c>
      <c r="D395" s="5" t="s">
        <v>88</v>
      </c>
      <c r="E395" s="40">
        <v>172.15</v>
      </c>
      <c r="F395" s="6">
        <v>180</v>
      </c>
      <c r="G395" s="7" t="s">
        <v>1069</v>
      </c>
      <c r="H395" s="8" t="s">
        <v>80</v>
      </c>
      <c r="I395" s="5" t="s">
        <v>19</v>
      </c>
      <c r="J395" s="10" t="s">
        <v>927</v>
      </c>
      <c r="K395" s="11" t="s">
        <v>3</v>
      </c>
      <c r="L395" s="5" t="s">
        <v>1070</v>
      </c>
    </row>
    <row r="396" spans="1:12" ht="45" x14ac:dyDescent="0.25">
      <c r="A396" s="5"/>
      <c r="B396" s="1">
        <v>400</v>
      </c>
      <c r="C396" s="5" t="s">
        <v>999</v>
      </c>
      <c r="D396" s="5" t="s">
        <v>88</v>
      </c>
      <c r="E396" s="40" t="s">
        <v>1503</v>
      </c>
      <c r="F396" s="6">
        <v>180</v>
      </c>
      <c r="G396" s="7" t="s">
        <v>1069</v>
      </c>
      <c r="H396" s="8" t="s">
        <v>80</v>
      </c>
      <c r="I396" s="5" t="s">
        <v>19</v>
      </c>
      <c r="J396" s="10" t="s">
        <v>927</v>
      </c>
      <c r="K396" s="11" t="s">
        <v>3</v>
      </c>
      <c r="L396" s="5" t="s">
        <v>1071</v>
      </c>
    </row>
    <row r="397" spans="1:12" ht="45" x14ac:dyDescent="0.25">
      <c r="A397" s="5"/>
      <c r="B397" s="5">
        <v>401</v>
      </c>
      <c r="C397" s="5" t="s">
        <v>1000</v>
      </c>
      <c r="D397" s="5" t="s">
        <v>82</v>
      </c>
      <c r="E397" s="40" t="s">
        <v>1195</v>
      </c>
      <c r="F397" s="6">
        <v>1296.25</v>
      </c>
      <c r="G397" s="7" t="s">
        <v>1069</v>
      </c>
      <c r="H397" s="8" t="s">
        <v>80</v>
      </c>
      <c r="I397" s="5" t="s">
        <v>19</v>
      </c>
      <c r="J397" s="10" t="s">
        <v>944</v>
      </c>
      <c r="K397" s="11" t="s">
        <v>3</v>
      </c>
      <c r="L397" s="5" t="s">
        <v>1072</v>
      </c>
    </row>
    <row r="398" spans="1:12" ht="45" x14ac:dyDescent="0.25">
      <c r="A398" s="5"/>
      <c r="B398" s="5">
        <v>402</v>
      </c>
      <c r="C398" s="57" t="s">
        <v>1001</v>
      </c>
      <c r="D398" s="5" t="s">
        <v>563</v>
      </c>
      <c r="E398" s="40" t="s">
        <v>535</v>
      </c>
      <c r="F398" s="6">
        <v>1400</v>
      </c>
      <c r="G398" s="7" t="s">
        <v>1069</v>
      </c>
      <c r="H398" s="8" t="s">
        <v>80</v>
      </c>
      <c r="I398" s="5" t="s">
        <v>19</v>
      </c>
      <c r="J398" s="10" t="s">
        <v>943</v>
      </c>
      <c r="K398" s="11" t="s">
        <v>3</v>
      </c>
      <c r="L398" s="5" t="s">
        <v>1073</v>
      </c>
    </row>
    <row r="399" spans="1:12" ht="45" x14ac:dyDescent="0.25">
      <c r="A399" s="5"/>
      <c r="B399" s="1">
        <v>403</v>
      </c>
      <c r="C399" s="5" t="s">
        <v>1002</v>
      </c>
      <c r="D399" s="5" t="s">
        <v>84</v>
      </c>
      <c r="E399" s="40" t="s">
        <v>1198</v>
      </c>
      <c r="F399" s="6">
        <v>1980</v>
      </c>
      <c r="G399" s="7" t="s">
        <v>1069</v>
      </c>
      <c r="H399" s="8" t="s">
        <v>80</v>
      </c>
      <c r="I399" s="5" t="s">
        <v>19</v>
      </c>
      <c r="J399" s="10" t="s">
        <v>942</v>
      </c>
      <c r="K399" s="11" t="s">
        <v>3</v>
      </c>
      <c r="L399" s="5" t="s">
        <v>1074</v>
      </c>
    </row>
    <row r="400" spans="1:12" ht="45" x14ac:dyDescent="0.25">
      <c r="A400" s="5"/>
      <c r="B400" s="1">
        <v>404</v>
      </c>
      <c r="C400" s="15" t="s">
        <v>1003</v>
      </c>
      <c r="D400" s="5" t="s">
        <v>82</v>
      </c>
      <c r="E400" s="40" t="s">
        <v>1197</v>
      </c>
      <c r="F400" s="6">
        <v>1187.5</v>
      </c>
      <c r="G400" s="7" t="s">
        <v>1069</v>
      </c>
      <c r="H400" s="8" t="s">
        <v>80</v>
      </c>
      <c r="I400" s="5" t="s">
        <v>19</v>
      </c>
      <c r="J400" s="10" t="s">
        <v>944</v>
      </c>
      <c r="K400" s="11" t="s">
        <v>3</v>
      </c>
      <c r="L400" s="5" t="s">
        <v>1075</v>
      </c>
    </row>
    <row r="401" spans="1:12" ht="45" x14ac:dyDescent="0.25">
      <c r="A401" s="5"/>
      <c r="B401" s="5">
        <v>405</v>
      </c>
      <c r="C401" s="5" t="s">
        <v>1004</v>
      </c>
      <c r="D401" s="5" t="s">
        <v>88</v>
      </c>
      <c r="E401" s="40">
        <v>32.5</v>
      </c>
      <c r="F401" s="6">
        <v>60</v>
      </c>
      <c r="G401" s="7" t="s">
        <v>1069</v>
      </c>
      <c r="H401" s="8" t="s">
        <v>80</v>
      </c>
      <c r="I401" s="5" t="s">
        <v>19</v>
      </c>
      <c r="J401" s="10" t="s">
        <v>927</v>
      </c>
      <c r="K401" s="11" t="s">
        <v>3</v>
      </c>
      <c r="L401" s="5" t="s">
        <v>1076</v>
      </c>
    </row>
    <row r="402" spans="1:12" ht="45" x14ac:dyDescent="0.25">
      <c r="A402" s="5"/>
      <c r="B402" s="5">
        <v>406</v>
      </c>
      <c r="C402" s="5" t="s">
        <v>1005</v>
      </c>
      <c r="D402" s="5" t="s">
        <v>88</v>
      </c>
      <c r="E402" s="40">
        <v>51.75</v>
      </c>
      <c r="F402" s="6">
        <v>60</v>
      </c>
      <c r="G402" s="7" t="s">
        <v>1069</v>
      </c>
      <c r="H402" s="8" t="s">
        <v>80</v>
      </c>
      <c r="I402" s="5" t="s">
        <v>19</v>
      </c>
      <c r="J402" s="10" t="s">
        <v>927</v>
      </c>
      <c r="K402" s="11" t="s">
        <v>3</v>
      </c>
      <c r="L402" s="5" t="s">
        <v>1077</v>
      </c>
    </row>
    <row r="403" spans="1:12" ht="45" x14ac:dyDescent="0.25">
      <c r="A403" s="5"/>
      <c r="B403" s="1">
        <v>407</v>
      </c>
      <c r="C403" s="5" t="s">
        <v>671</v>
      </c>
      <c r="D403" s="5" t="s">
        <v>82</v>
      </c>
      <c r="E403" s="40" t="s">
        <v>1405</v>
      </c>
      <c r="F403" s="6">
        <v>2190</v>
      </c>
      <c r="G403" s="7" t="s">
        <v>1069</v>
      </c>
      <c r="H403" s="8" t="s">
        <v>80</v>
      </c>
      <c r="I403" s="5" t="s">
        <v>19</v>
      </c>
      <c r="J403" s="10" t="s">
        <v>944</v>
      </c>
      <c r="K403" s="11" t="s">
        <v>3</v>
      </c>
      <c r="L403" s="5" t="s">
        <v>1078</v>
      </c>
    </row>
    <row r="404" spans="1:12" ht="45" x14ac:dyDescent="0.25">
      <c r="A404" s="5"/>
      <c r="B404" s="1">
        <v>408</v>
      </c>
      <c r="C404" s="5" t="s">
        <v>998</v>
      </c>
      <c r="D404" s="5" t="s">
        <v>84</v>
      </c>
      <c r="E404" s="40">
        <v>555</v>
      </c>
      <c r="F404" s="6">
        <v>555</v>
      </c>
      <c r="G404" s="7" t="s">
        <v>1069</v>
      </c>
      <c r="H404" s="8" t="s">
        <v>80</v>
      </c>
      <c r="I404" s="5" t="s">
        <v>19</v>
      </c>
      <c r="J404" s="10" t="s">
        <v>942</v>
      </c>
      <c r="K404" s="11" t="s">
        <v>3</v>
      </c>
      <c r="L404" s="5" t="s">
        <v>1079</v>
      </c>
    </row>
    <row r="405" spans="1:12" ht="45" x14ac:dyDescent="0.25">
      <c r="A405" s="5"/>
      <c r="B405" s="5">
        <v>409</v>
      </c>
      <c r="C405" s="15" t="s">
        <v>1006</v>
      </c>
      <c r="D405" s="5" t="s">
        <v>82</v>
      </c>
      <c r="E405" s="40" t="s">
        <v>604</v>
      </c>
      <c r="F405" s="6">
        <v>150</v>
      </c>
      <c r="G405" s="7" t="s">
        <v>1069</v>
      </c>
      <c r="H405" s="8" t="s">
        <v>80</v>
      </c>
      <c r="I405" s="5" t="s">
        <v>19</v>
      </c>
      <c r="J405" s="10" t="s">
        <v>944</v>
      </c>
      <c r="K405" s="11" t="s">
        <v>3</v>
      </c>
      <c r="L405" s="5" t="s">
        <v>1080</v>
      </c>
    </row>
    <row r="406" spans="1:12" ht="45" x14ac:dyDescent="0.25">
      <c r="A406" s="5"/>
      <c r="B406" s="5">
        <v>410</v>
      </c>
      <c r="C406" s="5" t="s">
        <v>1007</v>
      </c>
      <c r="D406" s="5" t="s">
        <v>84</v>
      </c>
      <c r="E406" s="40" t="s">
        <v>1462</v>
      </c>
      <c r="F406" s="6">
        <v>315</v>
      </c>
      <c r="G406" s="7" t="s">
        <v>1069</v>
      </c>
      <c r="H406" s="8" t="s">
        <v>80</v>
      </c>
      <c r="I406" s="5" t="s">
        <v>19</v>
      </c>
      <c r="J406" s="10" t="s">
        <v>942</v>
      </c>
      <c r="K406" s="11" t="s">
        <v>3</v>
      </c>
      <c r="L406" s="5" t="s">
        <v>1081</v>
      </c>
    </row>
    <row r="407" spans="1:12" ht="45" x14ac:dyDescent="0.25">
      <c r="A407" s="5"/>
      <c r="B407" s="1">
        <v>411</v>
      </c>
      <c r="C407" s="15" t="s">
        <v>1008</v>
      </c>
      <c r="D407" s="5" t="s">
        <v>563</v>
      </c>
      <c r="E407" s="40">
        <v>380</v>
      </c>
      <c r="F407" s="6">
        <v>380</v>
      </c>
      <c r="G407" s="7" t="s">
        <v>1069</v>
      </c>
      <c r="H407" s="8" t="s">
        <v>80</v>
      </c>
      <c r="I407" s="5" t="s">
        <v>19</v>
      </c>
      <c r="J407" s="10" t="s">
        <v>943</v>
      </c>
      <c r="K407" s="11" t="s">
        <v>3</v>
      </c>
      <c r="L407" s="5" t="s">
        <v>1082</v>
      </c>
    </row>
    <row r="408" spans="1:12" ht="45" x14ac:dyDescent="0.25">
      <c r="A408" s="5"/>
      <c r="B408" s="1">
        <v>412</v>
      </c>
      <c r="C408" s="5" t="s">
        <v>1009</v>
      </c>
      <c r="D408" s="5" t="s">
        <v>103</v>
      </c>
      <c r="E408" s="40" t="s">
        <v>1196</v>
      </c>
      <c r="F408" s="6">
        <v>2602</v>
      </c>
      <c r="G408" s="7" t="s">
        <v>1069</v>
      </c>
      <c r="H408" s="8" t="s">
        <v>80</v>
      </c>
      <c r="I408" s="5" t="s">
        <v>19</v>
      </c>
      <c r="J408" s="10" t="s">
        <v>946</v>
      </c>
      <c r="K408" s="11" t="s">
        <v>3</v>
      </c>
      <c r="L408" s="5" t="s">
        <v>1083</v>
      </c>
    </row>
    <row r="409" spans="1:12" ht="45" x14ac:dyDescent="0.25">
      <c r="A409" s="5"/>
      <c r="B409" s="5">
        <v>413</v>
      </c>
      <c r="C409" s="5" t="s">
        <v>1010</v>
      </c>
      <c r="D409" s="5" t="s">
        <v>103</v>
      </c>
      <c r="E409" s="40" t="s">
        <v>1416</v>
      </c>
      <c r="F409" s="6">
        <v>1325.3</v>
      </c>
      <c r="G409" s="7" t="s">
        <v>1069</v>
      </c>
      <c r="H409" s="8" t="s">
        <v>80</v>
      </c>
      <c r="I409" s="5" t="s">
        <v>19</v>
      </c>
      <c r="J409" s="10" t="s">
        <v>946</v>
      </c>
      <c r="K409" s="11" t="s">
        <v>3</v>
      </c>
      <c r="L409" s="5" t="s">
        <v>1084</v>
      </c>
    </row>
    <row r="410" spans="1:12" ht="45" x14ac:dyDescent="0.25">
      <c r="A410" s="5"/>
      <c r="B410" s="5">
        <v>414</v>
      </c>
      <c r="C410" s="5" t="s">
        <v>879</v>
      </c>
      <c r="D410" s="5" t="s">
        <v>563</v>
      </c>
      <c r="E410" s="40" t="s">
        <v>1448</v>
      </c>
      <c r="F410" s="6">
        <v>2970</v>
      </c>
      <c r="G410" s="7" t="s">
        <v>1069</v>
      </c>
      <c r="H410" s="8" t="s">
        <v>80</v>
      </c>
      <c r="I410" s="5" t="s">
        <v>19</v>
      </c>
      <c r="J410" s="10" t="s">
        <v>943</v>
      </c>
      <c r="K410" s="11" t="s">
        <v>3</v>
      </c>
      <c r="L410" s="5" t="s">
        <v>1085</v>
      </c>
    </row>
    <row r="411" spans="1:12" ht="45" x14ac:dyDescent="0.25">
      <c r="A411" s="5"/>
      <c r="B411" s="1">
        <v>415</v>
      </c>
      <c r="C411" s="1" t="s">
        <v>131</v>
      </c>
      <c r="D411" s="1" t="s">
        <v>88</v>
      </c>
      <c r="E411" s="40">
        <v>299.98</v>
      </c>
      <c r="F411" s="6">
        <v>300</v>
      </c>
      <c r="G411" s="7" t="s">
        <v>1069</v>
      </c>
      <c r="H411" s="8" t="s">
        <v>80</v>
      </c>
      <c r="I411" s="5" t="s">
        <v>19</v>
      </c>
      <c r="J411" s="1">
        <v>55300000</v>
      </c>
      <c r="K411" s="11" t="s">
        <v>3</v>
      </c>
      <c r="L411" s="5" t="s">
        <v>1086</v>
      </c>
    </row>
    <row r="412" spans="1:12" ht="45" x14ac:dyDescent="0.25">
      <c r="A412" s="5"/>
      <c r="B412" s="1">
        <v>416</v>
      </c>
      <c r="C412" s="5" t="s">
        <v>166</v>
      </c>
      <c r="D412" s="15" t="s">
        <v>563</v>
      </c>
      <c r="E412" s="40" t="s">
        <v>1200</v>
      </c>
      <c r="F412" s="6">
        <v>3150</v>
      </c>
      <c r="G412" s="7" t="s">
        <v>1069</v>
      </c>
      <c r="H412" s="8" t="s">
        <v>80</v>
      </c>
      <c r="I412" s="5" t="s">
        <v>19</v>
      </c>
      <c r="J412" s="10" t="s">
        <v>943</v>
      </c>
      <c r="K412" s="11" t="s">
        <v>3</v>
      </c>
      <c r="L412" s="5" t="s">
        <v>1087</v>
      </c>
    </row>
    <row r="413" spans="1:12" ht="45" x14ac:dyDescent="0.25">
      <c r="A413" s="5"/>
      <c r="B413" s="5">
        <v>417</v>
      </c>
      <c r="C413" s="5" t="s">
        <v>874</v>
      </c>
      <c r="D413" s="15" t="s">
        <v>563</v>
      </c>
      <c r="E413" s="40" t="s">
        <v>1406</v>
      </c>
      <c r="F413" s="6">
        <v>1420</v>
      </c>
      <c r="G413" s="7" t="s">
        <v>683</v>
      </c>
      <c r="H413" s="8" t="s">
        <v>80</v>
      </c>
      <c r="I413" s="5" t="s">
        <v>19</v>
      </c>
      <c r="J413" s="10" t="s">
        <v>943</v>
      </c>
      <c r="K413" s="11" t="s">
        <v>3</v>
      </c>
      <c r="L413" s="5" t="s">
        <v>1088</v>
      </c>
    </row>
    <row r="414" spans="1:12" ht="45" x14ac:dyDescent="0.25">
      <c r="A414" s="5"/>
      <c r="B414" s="5">
        <v>418</v>
      </c>
      <c r="C414" s="5" t="s">
        <v>1011</v>
      </c>
      <c r="D414" s="15" t="s">
        <v>88</v>
      </c>
      <c r="E414" s="40">
        <v>49.5</v>
      </c>
      <c r="F414" s="6">
        <v>50</v>
      </c>
      <c r="G414" s="7" t="s">
        <v>683</v>
      </c>
      <c r="H414" s="8" t="s">
        <v>80</v>
      </c>
      <c r="I414" s="5" t="s">
        <v>19</v>
      </c>
      <c r="J414" s="10" t="s">
        <v>927</v>
      </c>
      <c r="K414" s="11" t="s">
        <v>3</v>
      </c>
      <c r="L414" s="5" t="s">
        <v>1089</v>
      </c>
    </row>
    <row r="415" spans="1:12" ht="45" x14ac:dyDescent="0.25">
      <c r="A415" s="5"/>
      <c r="B415" s="1">
        <v>419</v>
      </c>
      <c r="C415" s="5" t="s">
        <v>1012</v>
      </c>
      <c r="D415" s="15" t="s">
        <v>88</v>
      </c>
      <c r="E415" s="40" t="s">
        <v>1409</v>
      </c>
      <c r="F415" s="6">
        <v>60</v>
      </c>
      <c r="G415" s="7" t="s">
        <v>683</v>
      </c>
      <c r="H415" s="8" t="s">
        <v>80</v>
      </c>
      <c r="I415" s="5" t="s">
        <v>19</v>
      </c>
      <c r="J415" s="10" t="s">
        <v>927</v>
      </c>
      <c r="K415" s="11" t="s">
        <v>3</v>
      </c>
      <c r="L415" s="5" t="s">
        <v>1090</v>
      </c>
    </row>
    <row r="416" spans="1:12" ht="45" x14ac:dyDescent="0.25">
      <c r="A416" s="5"/>
      <c r="B416" s="1">
        <v>420</v>
      </c>
      <c r="C416" s="5" t="s">
        <v>1013</v>
      </c>
      <c r="D416" s="15" t="s">
        <v>84</v>
      </c>
      <c r="E416" s="40" t="s">
        <v>1429</v>
      </c>
      <c r="F416" s="6">
        <v>370</v>
      </c>
      <c r="G416" s="7" t="s">
        <v>683</v>
      </c>
      <c r="H416" s="8" t="s">
        <v>80</v>
      </c>
      <c r="I416" s="5" t="s">
        <v>19</v>
      </c>
      <c r="J416" s="10" t="s">
        <v>942</v>
      </c>
      <c r="K416" s="11" t="s">
        <v>3</v>
      </c>
      <c r="L416" s="5" t="s">
        <v>1091</v>
      </c>
    </row>
    <row r="417" spans="1:12" ht="45" x14ac:dyDescent="0.25">
      <c r="A417" s="5"/>
      <c r="B417" s="5">
        <v>421</v>
      </c>
      <c r="C417" s="5" t="s">
        <v>1014</v>
      </c>
      <c r="D417" s="15" t="s">
        <v>82</v>
      </c>
      <c r="E417" s="40" t="s">
        <v>1410</v>
      </c>
      <c r="F417" s="6">
        <v>1850</v>
      </c>
      <c r="G417" s="7" t="s">
        <v>683</v>
      </c>
      <c r="H417" s="8" t="s">
        <v>80</v>
      </c>
      <c r="I417" s="5" t="s">
        <v>19</v>
      </c>
      <c r="J417" s="10" t="s">
        <v>944</v>
      </c>
      <c r="K417" s="11" t="s">
        <v>3</v>
      </c>
      <c r="L417" s="5" t="s">
        <v>1092</v>
      </c>
    </row>
    <row r="418" spans="1:12" ht="45" x14ac:dyDescent="0.25">
      <c r="A418" s="5"/>
      <c r="B418" s="5">
        <v>422</v>
      </c>
      <c r="C418" s="5" t="s">
        <v>1015</v>
      </c>
      <c r="D418" s="15" t="s">
        <v>88</v>
      </c>
      <c r="E418" s="40">
        <f>271.26+47.8+68.64</f>
        <v>387.7</v>
      </c>
      <c r="F418" s="6">
        <v>5000</v>
      </c>
      <c r="G418" s="7" t="s">
        <v>683</v>
      </c>
      <c r="H418" s="8" t="s">
        <v>26</v>
      </c>
      <c r="I418" s="5" t="s">
        <v>19</v>
      </c>
      <c r="J418" s="10" t="s">
        <v>927</v>
      </c>
      <c r="K418" s="11" t="s">
        <v>3</v>
      </c>
      <c r="L418" s="5" t="s">
        <v>1093</v>
      </c>
    </row>
    <row r="419" spans="1:12" ht="45" x14ac:dyDescent="0.25">
      <c r="A419" s="5"/>
      <c r="B419" s="1">
        <v>423</v>
      </c>
      <c r="C419" s="5" t="s">
        <v>1016</v>
      </c>
      <c r="D419" s="15" t="s">
        <v>88</v>
      </c>
      <c r="E419" s="40">
        <f>100+60</f>
        <v>160</v>
      </c>
      <c r="F419" s="6">
        <v>7000</v>
      </c>
      <c r="G419" s="7" t="s">
        <v>683</v>
      </c>
      <c r="H419" s="8" t="s">
        <v>26</v>
      </c>
      <c r="I419" s="5" t="s">
        <v>19</v>
      </c>
      <c r="J419" s="10" t="s">
        <v>927</v>
      </c>
      <c r="K419" s="11" t="s">
        <v>3</v>
      </c>
      <c r="L419" s="5" t="s">
        <v>1094</v>
      </c>
    </row>
    <row r="420" spans="1:12" ht="45" x14ac:dyDescent="0.25">
      <c r="A420" s="5"/>
      <c r="B420" s="1">
        <v>424</v>
      </c>
      <c r="C420" s="5" t="s">
        <v>1017</v>
      </c>
      <c r="D420" s="5" t="s">
        <v>88</v>
      </c>
      <c r="E420" s="40" t="s">
        <v>1455</v>
      </c>
      <c r="F420" s="6">
        <v>5000</v>
      </c>
      <c r="G420" s="7" t="s">
        <v>683</v>
      </c>
      <c r="H420" s="8" t="s">
        <v>26</v>
      </c>
      <c r="I420" s="5" t="s">
        <v>19</v>
      </c>
      <c r="J420" s="10" t="s">
        <v>927</v>
      </c>
      <c r="K420" s="11" t="s">
        <v>3</v>
      </c>
      <c r="L420" s="5" t="s">
        <v>1095</v>
      </c>
    </row>
    <row r="421" spans="1:12" ht="45" x14ac:dyDescent="0.25">
      <c r="A421" s="5"/>
      <c r="B421" s="5">
        <v>425</v>
      </c>
      <c r="C421" s="5" t="s">
        <v>2134</v>
      </c>
      <c r="D421" s="5" t="s">
        <v>88</v>
      </c>
      <c r="E421" s="40">
        <f>390+490+500+78+50</f>
        <v>1508</v>
      </c>
      <c r="F421" s="6">
        <v>5000</v>
      </c>
      <c r="G421" s="7" t="s">
        <v>683</v>
      </c>
      <c r="H421" s="8" t="s">
        <v>26</v>
      </c>
      <c r="I421" s="5" t="s">
        <v>19</v>
      </c>
      <c r="J421" s="10" t="s">
        <v>927</v>
      </c>
      <c r="K421" s="11" t="s">
        <v>3</v>
      </c>
      <c r="L421" s="5" t="s">
        <v>1096</v>
      </c>
    </row>
    <row r="422" spans="1:12" ht="45" x14ac:dyDescent="0.25">
      <c r="A422" s="5"/>
      <c r="B422" s="5">
        <v>426</v>
      </c>
      <c r="C422" s="5" t="s">
        <v>1018</v>
      </c>
      <c r="D422" s="5" t="s">
        <v>88</v>
      </c>
      <c r="E422" s="40">
        <f>756.75+417.28+434.51+246.6+96.03+53.95+83.65</f>
        <v>2088.77</v>
      </c>
      <c r="F422" s="6">
        <v>7000</v>
      </c>
      <c r="G422" s="7" t="s">
        <v>683</v>
      </c>
      <c r="H422" s="8" t="s">
        <v>26</v>
      </c>
      <c r="I422" s="5" t="s">
        <v>19</v>
      </c>
      <c r="J422" s="10" t="s">
        <v>927</v>
      </c>
      <c r="K422" s="11" t="s">
        <v>3</v>
      </c>
      <c r="L422" s="5" t="s">
        <v>1097</v>
      </c>
    </row>
    <row r="423" spans="1:12" ht="45" x14ac:dyDescent="0.25">
      <c r="A423" s="5"/>
      <c r="B423" s="1">
        <v>427</v>
      </c>
      <c r="C423" s="5" t="s">
        <v>1019</v>
      </c>
      <c r="D423" s="5" t="s">
        <v>88</v>
      </c>
      <c r="E423" s="38">
        <f>621+180.09+533.02+486.97+245.81+378+198.58+109.87+196.06+467.71+277.2+296.35+317.02+147.67</f>
        <v>4455.3500000000004</v>
      </c>
      <c r="F423" s="6">
        <v>7000</v>
      </c>
      <c r="G423" s="7" t="s">
        <v>683</v>
      </c>
      <c r="H423" s="8" t="s">
        <v>26</v>
      </c>
      <c r="I423" s="5" t="s">
        <v>19</v>
      </c>
      <c r="J423" s="10" t="s">
        <v>927</v>
      </c>
      <c r="K423" s="11" t="s">
        <v>3</v>
      </c>
      <c r="L423" s="5" t="s">
        <v>1098</v>
      </c>
    </row>
    <row r="424" spans="1:12" ht="45" x14ac:dyDescent="0.25">
      <c r="A424" s="5"/>
      <c r="B424" s="1">
        <v>428</v>
      </c>
      <c r="C424" s="5" t="s">
        <v>1020</v>
      </c>
      <c r="D424" s="5" t="s">
        <v>88</v>
      </c>
      <c r="E424" s="40">
        <f>607.38+499.66+112.95+484.8</f>
        <v>1704.79</v>
      </c>
      <c r="F424" s="6">
        <v>5000</v>
      </c>
      <c r="G424" s="7" t="s">
        <v>683</v>
      </c>
      <c r="H424" s="8" t="s">
        <v>26</v>
      </c>
      <c r="I424" s="5" t="s">
        <v>19</v>
      </c>
      <c r="J424" s="5">
        <v>55300000</v>
      </c>
      <c r="K424" s="11" t="s">
        <v>3</v>
      </c>
      <c r="L424" s="5" t="s">
        <v>1099</v>
      </c>
    </row>
    <row r="425" spans="1:12" ht="45" x14ac:dyDescent="0.25">
      <c r="A425" s="5"/>
      <c r="B425" s="5">
        <v>429</v>
      </c>
      <c r="C425" s="5" t="s">
        <v>95</v>
      </c>
      <c r="D425" s="5" t="s">
        <v>78</v>
      </c>
      <c r="E425" s="40">
        <f>441+346.5+189+36+108+126+67.5+72+504+144+72+441+72+189+315</f>
        <v>3123</v>
      </c>
      <c r="F425" s="6">
        <v>5000</v>
      </c>
      <c r="G425" s="7" t="s">
        <v>683</v>
      </c>
      <c r="H425" s="8" t="s">
        <v>26</v>
      </c>
      <c r="I425" s="5" t="s">
        <v>19</v>
      </c>
      <c r="J425" s="5">
        <v>92500000</v>
      </c>
      <c r="K425" s="11" t="s">
        <v>3</v>
      </c>
      <c r="L425" s="5" t="s">
        <v>1100</v>
      </c>
    </row>
    <row r="426" spans="1:12" ht="45" x14ac:dyDescent="0.25">
      <c r="A426" s="5"/>
      <c r="B426" s="5">
        <v>430</v>
      </c>
      <c r="C426" s="5" t="s">
        <v>1021</v>
      </c>
      <c r="D426" s="5" t="s">
        <v>88</v>
      </c>
      <c r="E426" s="40">
        <v>400</v>
      </c>
      <c r="F426" s="6">
        <v>400</v>
      </c>
      <c r="G426" s="7" t="s">
        <v>683</v>
      </c>
      <c r="H426" s="8" t="s">
        <v>80</v>
      </c>
      <c r="I426" s="5" t="s">
        <v>19</v>
      </c>
      <c r="J426" s="5">
        <v>55300000</v>
      </c>
      <c r="K426" s="11" t="s">
        <v>3</v>
      </c>
      <c r="L426" s="5" t="s">
        <v>1101</v>
      </c>
    </row>
    <row r="427" spans="1:12" ht="45" x14ac:dyDescent="0.25">
      <c r="A427" s="5"/>
      <c r="B427" s="1">
        <v>431</v>
      </c>
      <c r="C427" s="5" t="s">
        <v>667</v>
      </c>
      <c r="D427" s="5" t="s">
        <v>103</v>
      </c>
      <c r="E427" s="40" t="s">
        <v>1190</v>
      </c>
      <c r="F427" s="6">
        <v>650</v>
      </c>
      <c r="G427" s="7" t="s">
        <v>683</v>
      </c>
      <c r="H427" s="8" t="s">
        <v>80</v>
      </c>
      <c r="I427" s="5" t="s">
        <v>19</v>
      </c>
      <c r="J427" s="10" t="s">
        <v>946</v>
      </c>
      <c r="K427" s="11" t="s">
        <v>3</v>
      </c>
      <c r="L427" s="5" t="s">
        <v>1102</v>
      </c>
    </row>
    <row r="428" spans="1:12" ht="101.25" x14ac:dyDescent="0.25">
      <c r="A428" s="5"/>
      <c r="B428" s="1">
        <v>432</v>
      </c>
      <c r="C428" s="5" t="s">
        <v>501</v>
      </c>
      <c r="D428" s="5" t="s">
        <v>100</v>
      </c>
      <c r="E428" s="40" t="s">
        <v>438</v>
      </c>
      <c r="F428" s="6">
        <v>1500</v>
      </c>
      <c r="G428" s="7" t="s">
        <v>683</v>
      </c>
      <c r="H428" s="8" t="s">
        <v>80</v>
      </c>
      <c r="I428" s="5" t="s">
        <v>19</v>
      </c>
      <c r="J428" s="10" t="s">
        <v>929</v>
      </c>
      <c r="K428" s="13" t="s">
        <v>281</v>
      </c>
      <c r="L428" s="5" t="s">
        <v>1103</v>
      </c>
    </row>
    <row r="429" spans="1:12" ht="45" x14ac:dyDescent="0.25">
      <c r="A429" s="5"/>
      <c r="B429" s="5">
        <v>433</v>
      </c>
      <c r="C429" s="5" t="s">
        <v>1022</v>
      </c>
      <c r="D429" s="5" t="s">
        <v>88</v>
      </c>
      <c r="E429" s="40">
        <v>51.75</v>
      </c>
      <c r="F429" s="6">
        <v>60</v>
      </c>
      <c r="G429" s="7" t="s">
        <v>683</v>
      </c>
      <c r="H429" s="8" t="s">
        <v>80</v>
      </c>
      <c r="I429" s="5" t="s">
        <v>19</v>
      </c>
      <c r="J429" s="10" t="s">
        <v>927</v>
      </c>
      <c r="K429" s="11" t="s">
        <v>3</v>
      </c>
      <c r="L429" s="5" t="s">
        <v>1104</v>
      </c>
    </row>
    <row r="430" spans="1:12" ht="45" x14ac:dyDescent="0.25">
      <c r="A430" s="5"/>
      <c r="B430" s="5">
        <v>434</v>
      </c>
      <c r="C430" s="5" t="s">
        <v>166</v>
      </c>
      <c r="D430" s="5" t="s">
        <v>563</v>
      </c>
      <c r="E430" s="40" t="s">
        <v>1411</v>
      </c>
      <c r="F430" s="6">
        <v>1040</v>
      </c>
      <c r="G430" s="7" t="s">
        <v>683</v>
      </c>
      <c r="H430" s="8" t="s">
        <v>80</v>
      </c>
      <c r="I430" s="5" t="s">
        <v>19</v>
      </c>
      <c r="J430" s="10" t="s">
        <v>943</v>
      </c>
      <c r="K430" s="11" t="s">
        <v>3</v>
      </c>
      <c r="L430" s="5" t="s">
        <v>1105</v>
      </c>
    </row>
    <row r="431" spans="1:12" ht="45" x14ac:dyDescent="0.25">
      <c r="A431" s="5"/>
      <c r="B431" s="1">
        <v>435</v>
      </c>
      <c r="C431" s="5" t="s">
        <v>395</v>
      </c>
      <c r="D431" s="5" t="s">
        <v>563</v>
      </c>
      <c r="E431" s="40" t="s">
        <v>1434</v>
      </c>
      <c r="F431" s="6">
        <v>11270</v>
      </c>
      <c r="G431" s="7" t="s">
        <v>683</v>
      </c>
      <c r="H431" s="8" t="s">
        <v>80</v>
      </c>
      <c r="I431" s="5" t="s">
        <v>19</v>
      </c>
      <c r="J431" s="10" t="s">
        <v>1106</v>
      </c>
      <c r="K431" s="11" t="s">
        <v>3</v>
      </c>
      <c r="L431" s="5" t="s">
        <v>1107</v>
      </c>
    </row>
    <row r="432" spans="1:12" ht="45" x14ac:dyDescent="0.25">
      <c r="A432" s="5"/>
      <c r="B432" s="1">
        <v>436</v>
      </c>
      <c r="C432" s="5" t="s">
        <v>1023</v>
      </c>
      <c r="D432" s="5" t="s">
        <v>563</v>
      </c>
      <c r="E432" s="40" t="s">
        <v>602</v>
      </c>
      <c r="F432" s="6">
        <v>1100</v>
      </c>
      <c r="G432" s="7" t="s">
        <v>1108</v>
      </c>
      <c r="H432" s="8" t="s">
        <v>80</v>
      </c>
      <c r="I432" s="5" t="s">
        <v>19</v>
      </c>
      <c r="J432" s="10" t="s">
        <v>1109</v>
      </c>
      <c r="K432" s="11" t="s">
        <v>3</v>
      </c>
      <c r="L432" s="5" t="s">
        <v>1110</v>
      </c>
    </row>
    <row r="433" spans="1:12" ht="45" x14ac:dyDescent="0.25">
      <c r="A433" s="5"/>
      <c r="B433" s="5">
        <v>437</v>
      </c>
      <c r="C433" s="5" t="s">
        <v>1024</v>
      </c>
      <c r="D433" s="5" t="s">
        <v>84</v>
      </c>
      <c r="E433" s="40" t="s">
        <v>958</v>
      </c>
      <c r="F433" s="6">
        <v>1200</v>
      </c>
      <c r="G433" s="7" t="s">
        <v>1108</v>
      </c>
      <c r="H433" s="8" t="s">
        <v>80</v>
      </c>
      <c r="I433" s="5" t="s">
        <v>19</v>
      </c>
      <c r="J433" s="10" t="s">
        <v>942</v>
      </c>
      <c r="K433" s="11" t="s">
        <v>3</v>
      </c>
      <c r="L433" s="5" t="s">
        <v>1111</v>
      </c>
    </row>
    <row r="434" spans="1:12" ht="45" x14ac:dyDescent="0.25">
      <c r="A434" s="5"/>
      <c r="B434" s="5">
        <v>438</v>
      </c>
      <c r="C434" s="5" t="s">
        <v>668</v>
      </c>
      <c r="D434" s="5" t="s">
        <v>88</v>
      </c>
      <c r="E434" s="40" t="s">
        <v>1194</v>
      </c>
      <c r="F434" s="6">
        <v>180</v>
      </c>
      <c r="G434" s="7" t="s">
        <v>1108</v>
      </c>
      <c r="H434" s="8" t="s">
        <v>80</v>
      </c>
      <c r="I434" s="5" t="s">
        <v>19</v>
      </c>
      <c r="J434" s="10" t="s">
        <v>927</v>
      </c>
      <c r="K434" s="11" t="s">
        <v>3</v>
      </c>
      <c r="L434" s="5" t="s">
        <v>1112</v>
      </c>
    </row>
    <row r="435" spans="1:12" ht="45" x14ac:dyDescent="0.25">
      <c r="A435" s="5"/>
      <c r="B435" s="1">
        <v>439</v>
      </c>
      <c r="C435" s="5" t="s">
        <v>997</v>
      </c>
      <c r="D435" s="5" t="s">
        <v>103</v>
      </c>
      <c r="E435" s="40" t="s">
        <v>1418</v>
      </c>
      <c r="F435" s="6">
        <v>31253.200000000001</v>
      </c>
      <c r="G435" s="7" t="s">
        <v>1108</v>
      </c>
      <c r="H435" s="8" t="s">
        <v>80</v>
      </c>
      <c r="I435" s="5" t="s">
        <v>19</v>
      </c>
      <c r="J435" s="10" t="s">
        <v>946</v>
      </c>
      <c r="K435" s="11" t="s">
        <v>3</v>
      </c>
      <c r="L435" s="5" t="s">
        <v>1113</v>
      </c>
    </row>
    <row r="436" spans="1:12" ht="45" x14ac:dyDescent="0.25">
      <c r="A436" s="5"/>
      <c r="B436" s="1">
        <v>440</v>
      </c>
      <c r="C436" s="5" t="s">
        <v>646</v>
      </c>
      <c r="D436" s="5" t="s">
        <v>103</v>
      </c>
      <c r="E436" s="40" t="s">
        <v>1419</v>
      </c>
      <c r="F436" s="6">
        <v>6511</v>
      </c>
      <c r="G436" s="7" t="s">
        <v>1108</v>
      </c>
      <c r="H436" s="8" t="s">
        <v>80</v>
      </c>
      <c r="I436" s="5" t="s">
        <v>19</v>
      </c>
      <c r="J436" s="10" t="s">
        <v>946</v>
      </c>
      <c r="K436" s="11" t="s">
        <v>3</v>
      </c>
      <c r="L436" s="5" t="s">
        <v>1114</v>
      </c>
    </row>
    <row r="437" spans="1:12" ht="45" x14ac:dyDescent="0.25">
      <c r="A437" s="5"/>
      <c r="B437" s="5">
        <v>441</v>
      </c>
      <c r="C437" s="5" t="s">
        <v>647</v>
      </c>
      <c r="D437" s="5" t="s">
        <v>103</v>
      </c>
      <c r="E437" s="40" t="s">
        <v>1435</v>
      </c>
      <c r="F437" s="6">
        <v>19354.5</v>
      </c>
      <c r="G437" s="7" t="s">
        <v>1108</v>
      </c>
      <c r="H437" s="8" t="s">
        <v>80</v>
      </c>
      <c r="I437" s="5" t="s">
        <v>19</v>
      </c>
      <c r="J437" s="10" t="s">
        <v>946</v>
      </c>
      <c r="K437" s="11" t="s">
        <v>3</v>
      </c>
      <c r="L437" s="5" t="s">
        <v>1115</v>
      </c>
    </row>
    <row r="438" spans="1:12" ht="45" x14ac:dyDescent="0.25">
      <c r="A438" s="5"/>
      <c r="B438" s="5">
        <v>442</v>
      </c>
      <c r="C438" s="5" t="s">
        <v>454</v>
      </c>
      <c r="D438" s="5" t="s">
        <v>563</v>
      </c>
      <c r="E438" s="40" t="s">
        <v>438</v>
      </c>
      <c r="F438" s="6">
        <v>1500</v>
      </c>
      <c r="G438" s="7" t="s">
        <v>1116</v>
      </c>
      <c r="H438" s="8" t="s">
        <v>80</v>
      </c>
      <c r="I438" s="5" t="s">
        <v>19</v>
      </c>
      <c r="J438" s="10" t="s">
        <v>943</v>
      </c>
      <c r="K438" s="11" t="s">
        <v>3</v>
      </c>
      <c r="L438" s="5" t="s">
        <v>1117</v>
      </c>
    </row>
    <row r="439" spans="1:12" ht="45" x14ac:dyDescent="0.25">
      <c r="B439" s="1">
        <v>443</v>
      </c>
      <c r="C439" s="5" t="s">
        <v>1025</v>
      </c>
      <c r="D439" s="5" t="s">
        <v>82</v>
      </c>
      <c r="E439" s="40" t="s">
        <v>1404</v>
      </c>
      <c r="F439" s="6">
        <v>1562</v>
      </c>
      <c r="G439" s="7" t="s">
        <v>1116</v>
      </c>
      <c r="H439" s="8" t="s">
        <v>80</v>
      </c>
      <c r="I439" s="5" t="s">
        <v>19</v>
      </c>
      <c r="J439" s="10" t="s">
        <v>944</v>
      </c>
      <c r="K439" s="11" t="s">
        <v>3</v>
      </c>
      <c r="L439" s="5" t="s">
        <v>1118</v>
      </c>
    </row>
    <row r="440" spans="1:12" ht="45" x14ac:dyDescent="0.25">
      <c r="B440" s="1">
        <v>444</v>
      </c>
      <c r="C440" s="5" t="s">
        <v>626</v>
      </c>
      <c r="D440" s="5" t="s">
        <v>84</v>
      </c>
      <c r="E440" s="40" t="s">
        <v>1468</v>
      </c>
      <c r="F440" s="6">
        <v>5075</v>
      </c>
      <c r="G440" s="7" t="s">
        <v>1116</v>
      </c>
      <c r="H440" s="8" t="s">
        <v>80</v>
      </c>
      <c r="I440" s="5" t="s">
        <v>19</v>
      </c>
      <c r="J440" s="10" t="s">
        <v>942</v>
      </c>
      <c r="K440" s="11" t="s">
        <v>3</v>
      </c>
      <c r="L440" s="5" t="s">
        <v>1119</v>
      </c>
    </row>
    <row r="441" spans="1:12" ht="22.5" x14ac:dyDescent="0.25">
      <c r="B441" s="5">
        <v>445</v>
      </c>
      <c r="C441" s="5" t="s">
        <v>1026</v>
      </c>
      <c r="D441" s="5" t="s">
        <v>1027</v>
      </c>
      <c r="E441" s="38">
        <v>1681</v>
      </c>
      <c r="F441" s="6">
        <v>1681</v>
      </c>
      <c r="G441" s="7" t="s">
        <v>1116</v>
      </c>
      <c r="H441" s="8" t="s">
        <v>80</v>
      </c>
      <c r="I441" s="5" t="s">
        <v>19</v>
      </c>
      <c r="J441" s="10" t="s">
        <v>1120</v>
      </c>
      <c r="K441" s="11" t="s">
        <v>1121</v>
      </c>
      <c r="L441" s="5"/>
    </row>
    <row r="442" spans="1:12" ht="101.25" x14ac:dyDescent="0.25">
      <c r="B442" s="5">
        <v>446</v>
      </c>
      <c r="C442" s="5" t="s">
        <v>1028</v>
      </c>
      <c r="D442" s="5" t="s">
        <v>1029</v>
      </c>
      <c r="E442" s="40" t="s">
        <v>1178</v>
      </c>
      <c r="F442" s="6">
        <v>12465</v>
      </c>
      <c r="G442" s="7" t="s">
        <v>1116</v>
      </c>
      <c r="H442" s="8" t="s">
        <v>80</v>
      </c>
      <c r="I442" s="5" t="s">
        <v>19</v>
      </c>
      <c r="J442" s="10" t="s">
        <v>942</v>
      </c>
      <c r="K442" s="13" t="s">
        <v>588</v>
      </c>
      <c r="L442" s="5" t="s">
        <v>1122</v>
      </c>
    </row>
    <row r="443" spans="1:12" ht="45" x14ac:dyDescent="0.25">
      <c r="B443" s="1">
        <v>447</v>
      </c>
      <c r="C443" s="5" t="s">
        <v>1030</v>
      </c>
      <c r="D443" s="5" t="s">
        <v>82</v>
      </c>
      <c r="E443" s="40">
        <v>187.5</v>
      </c>
      <c r="F443" s="6">
        <v>187.5</v>
      </c>
      <c r="G443" s="7" t="s">
        <v>1116</v>
      </c>
      <c r="H443" s="8" t="s">
        <v>80</v>
      </c>
      <c r="I443" s="5" t="s">
        <v>19</v>
      </c>
      <c r="J443" s="10" t="s">
        <v>944</v>
      </c>
      <c r="K443" s="11" t="s">
        <v>3</v>
      </c>
      <c r="L443" s="5" t="s">
        <v>1123</v>
      </c>
    </row>
    <row r="444" spans="1:12" ht="45.75" x14ac:dyDescent="0.25">
      <c r="B444" s="1">
        <v>448</v>
      </c>
      <c r="C444" s="5" t="s">
        <v>1031</v>
      </c>
      <c r="D444" s="5" t="s">
        <v>1032</v>
      </c>
      <c r="E444" s="40">
        <f>145*5</f>
        <v>725</v>
      </c>
      <c r="F444" s="6">
        <v>870</v>
      </c>
      <c r="G444" s="7" t="s">
        <v>1116</v>
      </c>
      <c r="H444" s="8" t="s">
        <v>80</v>
      </c>
      <c r="I444" s="5" t="s">
        <v>19</v>
      </c>
      <c r="J444" s="10" t="s">
        <v>1124</v>
      </c>
      <c r="K444" s="11" t="s">
        <v>7</v>
      </c>
      <c r="L444" s="5" t="s">
        <v>1125</v>
      </c>
    </row>
    <row r="445" spans="1:12" ht="90" x14ac:dyDescent="0.25">
      <c r="B445" s="5">
        <v>449</v>
      </c>
      <c r="C445" s="5" t="s">
        <v>47</v>
      </c>
      <c r="D445" s="5" t="s">
        <v>37</v>
      </c>
      <c r="E445" s="40">
        <f>300*4+297.97</f>
        <v>1497.97</v>
      </c>
      <c r="F445" s="6">
        <v>1800</v>
      </c>
      <c r="G445" s="7" t="s">
        <v>1116</v>
      </c>
      <c r="H445" s="8" t="s">
        <v>80</v>
      </c>
      <c r="I445" s="5" t="s">
        <v>19</v>
      </c>
      <c r="J445" s="10" t="s">
        <v>35</v>
      </c>
      <c r="K445" s="13" t="s">
        <v>27</v>
      </c>
      <c r="L445" s="5" t="s">
        <v>1126</v>
      </c>
    </row>
    <row r="446" spans="1:12" ht="45" x14ac:dyDescent="0.25">
      <c r="B446" s="1">
        <v>451</v>
      </c>
      <c r="C446" s="5" t="s">
        <v>626</v>
      </c>
      <c r="D446" s="5" t="s">
        <v>88</v>
      </c>
      <c r="E446" s="40">
        <f>549.7+701.73+158.7</f>
        <v>1410.13</v>
      </c>
      <c r="F446" s="6">
        <v>10000</v>
      </c>
      <c r="G446" s="7" t="s">
        <v>1127</v>
      </c>
      <c r="H446" s="8" t="s">
        <v>80</v>
      </c>
      <c r="I446" s="5" t="s">
        <v>19</v>
      </c>
      <c r="J446" s="10" t="s">
        <v>927</v>
      </c>
      <c r="K446" s="11" t="s">
        <v>3</v>
      </c>
      <c r="L446" s="5" t="s">
        <v>1128</v>
      </c>
    </row>
    <row r="447" spans="1:12" ht="45" x14ac:dyDescent="0.25">
      <c r="B447" s="1">
        <v>452</v>
      </c>
      <c r="C447" s="5" t="s">
        <v>997</v>
      </c>
      <c r="D447" s="5" t="s">
        <v>103</v>
      </c>
      <c r="E447" s="40" t="s">
        <v>1420</v>
      </c>
      <c r="F447" s="6">
        <v>3117.3</v>
      </c>
      <c r="G447" s="7" t="s">
        <v>1127</v>
      </c>
      <c r="H447" s="8" t="s">
        <v>80</v>
      </c>
      <c r="I447" s="5" t="s">
        <v>19</v>
      </c>
      <c r="J447" s="10" t="s">
        <v>946</v>
      </c>
      <c r="K447" s="11" t="s">
        <v>3</v>
      </c>
      <c r="L447" s="5" t="s">
        <v>1129</v>
      </c>
    </row>
    <row r="448" spans="1:12" ht="45" x14ac:dyDescent="0.25">
      <c r="B448" s="5">
        <v>453</v>
      </c>
      <c r="C448" s="5" t="s">
        <v>646</v>
      </c>
      <c r="D448" s="5" t="s">
        <v>103</v>
      </c>
      <c r="E448" s="40" t="s">
        <v>1417</v>
      </c>
      <c r="F448" s="6">
        <v>2385</v>
      </c>
      <c r="G448" s="7" t="s">
        <v>1127</v>
      </c>
      <c r="H448" s="8" t="s">
        <v>80</v>
      </c>
      <c r="I448" s="5" t="s">
        <v>19</v>
      </c>
      <c r="J448" s="10" t="s">
        <v>946</v>
      </c>
      <c r="K448" s="11" t="s">
        <v>3</v>
      </c>
      <c r="L448" s="5" t="s">
        <v>1130</v>
      </c>
    </row>
    <row r="449" spans="2:12" ht="45" x14ac:dyDescent="0.25">
      <c r="B449" s="5">
        <v>454</v>
      </c>
      <c r="C449" s="5" t="s">
        <v>647</v>
      </c>
      <c r="D449" s="5" t="s">
        <v>103</v>
      </c>
      <c r="E449" s="40">
        <v>675.8</v>
      </c>
      <c r="F449" s="6">
        <v>675.8</v>
      </c>
      <c r="G449" s="7" t="s">
        <v>1127</v>
      </c>
      <c r="H449" s="8" t="s">
        <v>80</v>
      </c>
      <c r="I449" s="5" t="s">
        <v>19</v>
      </c>
      <c r="J449" s="10" t="s">
        <v>946</v>
      </c>
      <c r="K449" s="11" t="s">
        <v>3</v>
      </c>
      <c r="L449" s="5" t="s">
        <v>1131</v>
      </c>
    </row>
    <row r="450" spans="2:12" ht="45" x14ac:dyDescent="0.25">
      <c r="B450" s="1">
        <v>455</v>
      </c>
      <c r="C450" s="5" t="s">
        <v>166</v>
      </c>
      <c r="D450" s="5" t="s">
        <v>563</v>
      </c>
      <c r="E450" s="40">
        <v>610</v>
      </c>
      <c r="F450" s="6">
        <v>610</v>
      </c>
      <c r="G450" s="7" t="s">
        <v>1127</v>
      </c>
      <c r="H450" s="8" t="s">
        <v>80</v>
      </c>
      <c r="I450" s="5" t="s">
        <v>19</v>
      </c>
      <c r="J450" s="10" t="s">
        <v>943</v>
      </c>
      <c r="K450" s="11" t="s">
        <v>3</v>
      </c>
      <c r="L450" s="5" t="s">
        <v>1413</v>
      </c>
    </row>
    <row r="451" spans="2:12" ht="45" x14ac:dyDescent="0.25">
      <c r="B451" s="1">
        <v>456</v>
      </c>
      <c r="C451" s="5" t="s">
        <v>1033</v>
      </c>
      <c r="D451" s="5" t="s">
        <v>88</v>
      </c>
      <c r="E451" s="40" t="s">
        <v>1459</v>
      </c>
      <c r="F451" s="6">
        <v>1700</v>
      </c>
      <c r="G451" s="7" t="s">
        <v>1132</v>
      </c>
      <c r="H451" s="8" t="s">
        <v>80</v>
      </c>
      <c r="I451" s="5" t="s">
        <v>19</v>
      </c>
      <c r="J451" s="10" t="s">
        <v>927</v>
      </c>
      <c r="K451" s="11" t="s">
        <v>3</v>
      </c>
      <c r="L451" s="5" t="s">
        <v>1211</v>
      </c>
    </row>
    <row r="452" spans="2:12" ht="45" x14ac:dyDescent="0.25">
      <c r="B452" s="5">
        <v>457</v>
      </c>
      <c r="C452" s="5" t="s">
        <v>1034</v>
      </c>
      <c r="D452" s="5" t="s">
        <v>88</v>
      </c>
      <c r="E452" s="40" t="s">
        <v>1432</v>
      </c>
      <c r="F452" s="6">
        <v>2040</v>
      </c>
      <c r="G452" s="7" t="s">
        <v>1132</v>
      </c>
      <c r="H452" s="8" t="s">
        <v>80</v>
      </c>
      <c r="I452" s="5" t="s">
        <v>19</v>
      </c>
      <c r="J452" s="10" t="s">
        <v>927</v>
      </c>
      <c r="K452" s="11" t="s">
        <v>3</v>
      </c>
      <c r="L452" s="5" t="s">
        <v>1212</v>
      </c>
    </row>
    <row r="453" spans="2:12" ht="45" x14ac:dyDescent="0.25">
      <c r="B453" s="5">
        <v>458</v>
      </c>
      <c r="C453" s="5" t="s">
        <v>131</v>
      </c>
      <c r="D453" s="5" t="s">
        <v>88</v>
      </c>
      <c r="E453" s="40">
        <v>708</v>
      </c>
      <c r="F453" s="6">
        <v>708</v>
      </c>
      <c r="G453" s="7" t="s">
        <v>1132</v>
      </c>
      <c r="H453" s="8" t="s">
        <v>80</v>
      </c>
      <c r="I453" s="5" t="s">
        <v>19</v>
      </c>
      <c r="J453" s="10" t="s">
        <v>927</v>
      </c>
      <c r="K453" s="11" t="s">
        <v>3</v>
      </c>
      <c r="L453" s="5" t="s">
        <v>1213</v>
      </c>
    </row>
    <row r="454" spans="2:12" ht="45" x14ac:dyDescent="0.25">
      <c r="B454" s="1">
        <v>459</v>
      </c>
      <c r="C454" s="5" t="s">
        <v>396</v>
      </c>
      <c r="D454" s="5" t="s">
        <v>82</v>
      </c>
      <c r="E454" s="40" t="s">
        <v>1407</v>
      </c>
      <c r="F454" s="6">
        <v>200</v>
      </c>
      <c r="G454" s="7" t="s">
        <v>1132</v>
      </c>
      <c r="H454" s="8" t="s">
        <v>80</v>
      </c>
      <c r="I454" s="5" t="s">
        <v>19</v>
      </c>
      <c r="J454" s="10" t="s">
        <v>944</v>
      </c>
      <c r="K454" s="11" t="s">
        <v>3</v>
      </c>
      <c r="L454" s="5" t="s">
        <v>1133</v>
      </c>
    </row>
    <row r="455" spans="2:12" ht="45" x14ac:dyDescent="0.25">
      <c r="B455" s="1">
        <v>460</v>
      </c>
      <c r="C455" s="5" t="s">
        <v>1035</v>
      </c>
      <c r="D455" s="5" t="s">
        <v>563</v>
      </c>
      <c r="E455" s="40" t="s">
        <v>1408</v>
      </c>
      <c r="F455" s="6">
        <v>600</v>
      </c>
      <c r="G455" s="7" t="s">
        <v>1132</v>
      </c>
      <c r="H455" s="8" t="s">
        <v>80</v>
      </c>
      <c r="I455" s="5" t="s">
        <v>19</v>
      </c>
      <c r="J455" s="10" t="s">
        <v>943</v>
      </c>
      <c r="K455" s="11" t="s">
        <v>3</v>
      </c>
      <c r="L455" s="5" t="s">
        <v>1134</v>
      </c>
    </row>
    <row r="456" spans="2:12" ht="45" x14ac:dyDescent="0.25">
      <c r="B456" s="5">
        <v>461</v>
      </c>
      <c r="C456" s="5" t="s">
        <v>1036</v>
      </c>
      <c r="D456" s="5" t="s">
        <v>82</v>
      </c>
      <c r="E456" s="40" t="s">
        <v>1407</v>
      </c>
      <c r="F456" s="6">
        <v>200</v>
      </c>
      <c r="G456" s="7" t="s">
        <v>1132</v>
      </c>
      <c r="H456" s="8" t="s">
        <v>80</v>
      </c>
      <c r="I456" s="5" t="s">
        <v>19</v>
      </c>
      <c r="J456" s="10" t="s">
        <v>944</v>
      </c>
      <c r="K456" s="11" t="s">
        <v>3</v>
      </c>
      <c r="L456" s="5" t="s">
        <v>1135</v>
      </c>
    </row>
    <row r="457" spans="2:12" ht="90" x14ac:dyDescent="0.25">
      <c r="B457" s="5">
        <v>462</v>
      </c>
      <c r="C457" s="5" t="s">
        <v>1037</v>
      </c>
      <c r="D457" s="5" t="s">
        <v>1038</v>
      </c>
      <c r="E457" s="40">
        <f>19455.84+19106.64</f>
        <v>38562.479999999996</v>
      </c>
      <c r="F457" s="6">
        <v>38880</v>
      </c>
      <c r="G457" s="7" t="s">
        <v>1132</v>
      </c>
      <c r="H457" s="8" t="s">
        <v>80</v>
      </c>
      <c r="I457" s="5" t="s">
        <v>19</v>
      </c>
      <c r="J457" s="10" t="s">
        <v>918</v>
      </c>
      <c r="K457" s="13" t="s">
        <v>919</v>
      </c>
      <c r="L457" s="5" t="s">
        <v>1136</v>
      </c>
    </row>
    <row r="458" spans="2:12" ht="45" x14ac:dyDescent="0.25">
      <c r="B458" s="1">
        <v>463</v>
      </c>
      <c r="C458" s="5" t="s">
        <v>647</v>
      </c>
      <c r="D458" s="5" t="s">
        <v>103</v>
      </c>
      <c r="E458" s="40" t="s">
        <v>1421</v>
      </c>
      <c r="F458" s="6">
        <v>7353.4</v>
      </c>
      <c r="G458" s="7" t="s">
        <v>1132</v>
      </c>
      <c r="H458" s="8" t="s">
        <v>80</v>
      </c>
      <c r="I458" s="5" t="s">
        <v>19</v>
      </c>
      <c r="J458" s="10" t="s">
        <v>946</v>
      </c>
      <c r="K458" s="11" t="s">
        <v>3</v>
      </c>
      <c r="L458" s="5" t="s">
        <v>1137</v>
      </c>
    </row>
    <row r="459" spans="2:12" ht="45" x14ac:dyDescent="0.25">
      <c r="B459" s="1">
        <v>464</v>
      </c>
      <c r="C459" s="15" t="s">
        <v>997</v>
      </c>
      <c r="D459" s="5" t="s">
        <v>103</v>
      </c>
      <c r="E459" s="40" t="s">
        <v>1415</v>
      </c>
      <c r="F459" s="6">
        <v>6687</v>
      </c>
      <c r="G459" s="7" t="s">
        <v>1132</v>
      </c>
      <c r="H459" s="8" t="s">
        <v>80</v>
      </c>
      <c r="I459" s="5" t="s">
        <v>19</v>
      </c>
      <c r="J459" s="10" t="s">
        <v>946</v>
      </c>
      <c r="K459" s="11" t="s">
        <v>3</v>
      </c>
      <c r="L459" s="5" t="s">
        <v>1138</v>
      </c>
    </row>
    <row r="460" spans="2:12" ht="45" x14ac:dyDescent="0.25">
      <c r="B460" s="5">
        <v>465</v>
      </c>
      <c r="C460" s="5" t="s">
        <v>1039</v>
      </c>
      <c r="D460" s="5" t="s">
        <v>5</v>
      </c>
      <c r="E460" s="40" t="s">
        <v>1525</v>
      </c>
      <c r="F460" s="6">
        <v>14400</v>
      </c>
      <c r="G460" s="7" t="s">
        <v>1132</v>
      </c>
      <c r="H460" s="8" t="s">
        <v>80</v>
      </c>
      <c r="I460" s="5" t="s">
        <v>19</v>
      </c>
      <c r="J460" s="10" t="s">
        <v>942</v>
      </c>
      <c r="K460" s="11" t="s">
        <v>3</v>
      </c>
      <c r="L460" s="5" t="s">
        <v>1214</v>
      </c>
    </row>
    <row r="461" spans="2:12" ht="45" x14ac:dyDescent="0.25">
      <c r="B461" s="5">
        <v>466</v>
      </c>
      <c r="C461" s="5" t="s">
        <v>840</v>
      </c>
      <c r="D461" s="5" t="s">
        <v>82</v>
      </c>
      <c r="E461" s="40" t="s">
        <v>994</v>
      </c>
      <c r="F461" s="6">
        <v>1750</v>
      </c>
      <c r="G461" s="7" t="s">
        <v>1139</v>
      </c>
      <c r="H461" s="8" t="s">
        <v>80</v>
      </c>
      <c r="I461" s="5" t="s">
        <v>19</v>
      </c>
      <c r="J461" s="10" t="s">
        <v>944</v>
      </c>
      <c r="K461" s="11" t="s">
        <v>3</v>
      </c>
      <c r="L461" s="5" t="s">
        <v>1215</v>
      </c>
    </row>
    <row r="462" spans="2:12" ht="45" x14ac:dyDescent="0.25">
      <c r="B462" s="1">
        <v>467</v>
      </c>
      <c r="C462" s="5" t="s">
        <v>395</v>
      </c>
      <c r="D462" s="5" t="s">
        <v>563</v>
      </c>
      <c r="E462" s="40" t="s">
        <v>528</v>
      </c>
      <c r="F462" s="6">
        <v>1500</v>
      </c>
      <c r="G462" s="7" t="s">
        <v>1139</v>
      </c>
      <c r="H462" s="8" t="s">
        <v>80</v>
      </c>
      <c r="I462" s="5" t="s">
        <v>19</v>
      </c>
      <c r="J462" s="10" t="s">
        <v>943</v>
      </c>
      <c r="K462" s="11" t="s">
        <v>3</v>
      </c>
      <c r="L462" s="5" t="s">
        <v>1140</v>
      </c>
    </row>
    <row r="463" spans="2:12" ht="45" x14ac:dyDescent="0.25">
      <c r="B463" s="1">
        <v>468</v>
      </c>
      <c r="C463" s="5" t="s">
        <v>1040</v>
      </c>
      <c r="D463" s="5" t="s">
        <v>88</v>
      </c>
      <c r="E463" s="40" t="s">
        <v>1463</v>
      </c>
      <c r="F463" s="6">
        <v>2040</v>
      </c>
      <c r="G463" s="7" t="s">
        <v>1139</v>
      </c>
      <c r="H463" s="8" t="s">
        <v>80</v>
      </c>
      <c r="I463" s="5" t="s">
        <v>19</v>
      </c>
      <c r="J463" s="10" t="s">
        <v>927</v>
      </c>
      <c r="K463" s="11" t="s">
        <v>3</v>
      </c>
      <c r="L463" s="5" t="s">
        <v>1216</v>
      </c>
    </row>
    <row r="464" spans="2:12" ht="45" x14ac:dyDescent="0.25">
      <c r="B464" s="5">
        <v>469</v>
      </c>
      <c r="C464" s="5" t="s">
        <v>1041</v>
      </c>
      <c r="D464" s="5" t="s">
        <v>5</v>
      </c>
      <c r="E464" s="40" t="s">
        <v>1471</v>
      </c>
      <c r="F464" s="6">
        <v>637.20000000000005</v>
      </c>
      <c r="G464" s="7" t="s">
        <v>1139</v>
      </c>
      <c r="H464" s="8" t="s">
        <v>80</v>
      </c>
      <c r="I464" s="5" t="s">
        <v>19</v>
      </c>
      <c r="J464" s="10" t="s">
        <v>942</v>
      </c>
      <c r="K464" s="11" t="s">
        <v>3</v>
      </c>
      <c r="L464" s="5" t="s">
        <v>1217</v>
      </c>
    </row>
    <row r="465" spans="2:12" ht="45" x14ac:dyDescent="0.25">
      <c r="B465" s="1">
        <v>471</v>
      </c>
      <c r="C465" s="5" t="s">
        <v>648</v>
      </c>
      <c r="D465" s="5" t="s">
        <v>5</v>
      </c>
      <c r="E465" s="40">
        <v>687.24</v>
      </c>
      <c r="F465" s="6">
        <v>687.24</v>
      </c>
      <c r="G465" s="7" t="s">
        <v>1139</v>
      </c>
      <c r="H465" s="8" t="s">
        <v>80</v>
      </c>
      <c r="I465" s="5" t="s">
        <v>19</v>
      </c>
      <c r="J465" s="10" t="s">
        <v>942</v>
      </c>
      <c r="K465" s="11" t="s">
        <v>3</v>
      </c>
      <c r="L465" s="5" t="s">
        <v>1218</v>
      </c>
    </row>
    <row r="466" spans="2:12" ht="45" x14ac:dyDescent="0.25">
      <c r="B466" s="5">
        <v>473</v>
      </c>
      <c r="C466" s="5" t="s">
        <v>626</v>
      </c>
      <c r="D466" s="5" t="s">
        <v>5</v>
      </c>
      <c r="E466" s="40" t="s">
        <v>1439</v>
      </c>
      <c r="F466" s="6">
        <v>750</v>
      </c>
      <c r="G466" s="7" t="s">
        <v>1139</v>
      </c>
      <c r="H466" s="8" t="s">
        <v>80</v>
      </c>
      <c r="I466" s="5" t="s">
        <v>19</v>
      </c>
      <c r="J466" s="10" t="s">
        <v>942</v>
      </c>
      <c r="K466" s="11" t="s">
        <v>3</v>
      </c>
      <c r="L466" s="5" t="s">
        <v>1219</v>
      </c>
    </row>
    <row r="467" spans="2:12" ht="45" x14ac:dyDescent="0.25">
      <c r="B467" s="5">
        <v>474</v>
      </c>
      <c r="C467" s="5" t="s">
        <v>850</v>
      </c>
      <c r="D467" s="5" t="s">
        <v>88</v>
      </c>
      <c r="E467" s="40">
        <v>147.4</v>
      </c>
      <c r="F467" s="6">
        <v>150</v>
      </c>
      <c r="G467" s="7" t="s">
        <v>1139</v>
      </c>
      <c r="H467" s="8" t="s">
        <v>80</v>
      </c>
      <c r="I467" s="5" t="s">
        <v>19</v>
      </c>
      <c r="J467" s="10" t="s">
        <v>927</v>
      </c>
      <c r="K467" s="11" t="s">
        <v>3</v>
      </c>
      <c r="L467" s="5" t="s">
        <v>1220</v>
      </c>
    </row>
    <row r="468" spans="2:12" ht="45" x14ac:dyDescent="0.25">
      <c r="B468" s="1">
        <v>475</v>
      </c>
      <c r="C468" s="15" t="s">
        <v>1043</v>
      </c>
      <c r="D468" s="15" t="s">
        <v>5</v>
      </c>
      <c r="E468" s="40" t="s">
        <v>1473</v>
      </c>
      <c r="F468" s="6">
        <v>2655</v>
      </c>
      <c r="G468" s="7" t="s">
        <v>1139</v>
      </c>
      <c r="H468" s="8" t="s">
        <v>80</v>
      </c>
      <c r="I468" s="5" t="s">
        <v>19</v>
      </c>
      <c r="J468" s="10" t="s">
        <v>942</v>
      </c>
      <c r="K468" s="11" t="s">
        <v>3</v>
      </c>
      <c r="L468" s="5" t="s">
        <v>1221</v>
      </c>
    </row>
    <row r="469" spans="2:12" ht="45" x14ac:dyDescent="0.25">
      <c r="B469" s="1">
        <v>476</v>
      </c>
      <c r="C469" s="5" t="s">
        <v>1044</v>
      </c>
      <c r="D469" s="5" t="s">
        <v>88</v>
      </c>
      <c r="E469" s="40" t="s">
        <v>1472</v>
      </c>
      <c r="F469" s="6">
        <v>150</v>
      </c>
      <c r="G469" s="7" t="s">
        <v>1139</v>
      </c>
      <c r="H469" s="8" t="s">
        <v>80</v>
      </c>
      <c r="I469" s="5" t="s">
        <v>19</v>
      </c>
      <c r="J469" s="10" t="s">
        <v>927</v>
      </c>
      <c r="K469" s="11" t="s">
        <v>3</v>
      </c>
      <c r="L469" s="5" t="s">
        <v>1222</v>
      </c>
    </row>
    <row r="470" spans="2:12" ht="45" x14ac:dyDescent="0.25">
      <c r="B470" s="5">
        <v>477</v>
      </c>
      <c r="C470" s="5" t="s">
        <v>1000</v>
      </c>
      <c r="D470" s="5" t="s">
        <v>82</v>
      </c>
      <c r="E470" s="40" t="s">
        <v>1475</v>
      </c>
      <c r="F470" s="6">
        <v>3306</v>
      </c>
      <c r="G470" s="7" t="s">
        <v>1139</v>
      </c>
      <c r="H470" s="8" t="s">
        <v>80</v>
      </c>
      <c r="I470" s="5" t="s">
        <v>19</v>
      </c>
      <c r="J470" s="10" t="s">
        <v>944</v>
      </c>
      <c r="K470" s="11" t="s">
        <v>3</v>
      </c>
      <c r="L470" s="5" t="s">
        <v>1223</v>
      </c>
    </row>
    <row r="471" spans="2:12" ht="45" x14ac:dyDescent="0.25">
      <c r="B471" s="5">
        <v>478</v>
      </c>
      <c r="C471" s="5" t="s">
        <v>1043</v>
      </c>
      <c r="D471" s="5" t="s">
        <v>294</v>
      </c>
      <c r="E471" s="40">
        <v>106.2</v>
      </c>
      <c r="F471" s="6">
        <v>106.2</v>
      </c>
      <c r="G471" s="7" t="s">
        <v>1139</v>
      </c>
      <c r="H471" s="8" t="s">
        <v>80</v>
      </c>
      <c r="I471" s="5" t="s">
        <v>19</v>
      </c>
      <c r="J471" s="10" t="s">
        <v>927</v>
      </c>
      <c r="K471" s="11" t="s">
        <v>3</v>
      </c>
      <c r="L471" s="5" t="s">
        <v>1224</v>
      </c>
    </row>
    <row r="472" spans="2:12" ht="101.25" x14ac:dyDescent="0.25">
      <c r="B472" s="1">
        <v>479</v>
      </c>
      <c r="C472" s="5" t="s">
        <v>262</v>
      </c>
      <c r="D472" s="5" t="s">
        <v>1045</v>
      </c>
      <c r="E472" s="40" t="s">
        <v>1885</v>
      </c>
      <c r="F472" s="6">
        <v>80</v>
      </c>
      <c r="G472" s="7" t="s">
        <v>1139</v>
      </c>
      <c r="H472" s="8" t="s">
        <v>80</v>
      </c>
      <c r="I472" s="5" t="s">
        <v>19</v>
      </c>
      <c r="J472" s="10" t="s">
        <v>1141</v>
      </c>
      <c r="K472" s="13" t="s">
        <v>281</v>
      </c>
      <c r="L472" s="5" t="s">
        <v>1225</v>
      </c>
    </row>
    <row r="473" spans="2:12" ht="101.25" x14ac:dyDescent="0.25">
      <c r="B473" s="1">
        <v>480</v>
      </c>
      <c r="C473" s="5" t="s">
        <v>1046</v>
      </c>
      <c r="D473" s="5" t="s">
        <v>1047</v>
      </c>
      <c r="E473" s="40" t="s">
        <v>1436</v>
      </c>
      <c r="F473" s="6">
        <v>5811.26</v>
      </c>
      <c r="G473" s="7" t="s">
        <v>1139</v>
      </c>
      <c r="H473" s="8" t="s">
        <v>80</v>
      </c>
      <c r="I473" s="5" t="s">
        <v>19</v>
      </c>
      <c r="J473" s="10" t="s">
        <v>929</v>
      </c>
      <c r="K473" s="13" t="s">
        <v>588</v>
      </c>
      <c r="L473" s="5" t="s">
        <v>1226</v>
      </c>
    </row>
    <row r="474" spans="2:12" ht="45" x14ac:dyDescent="0.25">
      <c r="B474" s="5">
        <v>481</v>
      </c>
      <c r="C474" s="5" t="s">
        <v>1048</v>
      </c>
      <c r="D474" s="5" t="s">
        <v>563</v>
      </c>
      <c r="E474" s="40" t="s">
        <v>1524</v>
      </c>
      <c r="F474" s="6">
        <v>4869.8599999999997</v>
      </c>
      <c r="G474" s="7" t="s">
        <v>1139</v>
      </c>
      <c r="H474" s="8" t="s">
        <v>80</v>
      </c>
      <c r="I474" s="5" t="s">
        <v>19</v>
      </c>
      <c r="J474" s="10" t="s">
        <v>943</v>
      </c>
      <c r="K474" s="11" t="s">
        <v>3</v>
      </c>
      <c r="L474" s="5" t="s">
        <v>1227</v>
      </c>
    </row>
    <row r="475" spans="2:12" ht="45" x14ac:dyDescent="0.25">
      <c r="B475" s="5">
        <v>482</v>
      </c>
      <c r="C475" s="5" t="s">
        <v>1521</v>
      </c>
      <c r="D475" s="5" t="s">
        <v>5</v>
      </c>
      <c r="E475" s="40" t="s">
        <v>1522</v>
      </c>
      <c r="F475" s="6">
        <v>25687.5</v>
      </c>
      <c r="G475" s="7" t="s">
        <v>1139</v>
      </c>
      <c r="H475" s="8" t="s">
        <v>80</v>
      </c>
      <c r="I475" s="5" t="s">
        <v>19</v>
      </c>
      <c r="J475" s="10" t="s">
        <v>942</v>
      </c>
      <c r="K475" s="11" t="s">
        <v>3</v>
      </c>
      <c r="L475" s="5" t="s">
        <v>1228</v>
      </c>
    </row>
    <row r="476" spans="2:12" ht="45" x14ac:dyDescent="0.25">
      <c r="B476" s="1">
        <v>483</v>
      </c>
      <c r="C476" s="5" t="s">
        <v>562</v>
      </c>
      <c r="D476" s="5" t="s">
        <v>563</v>
      </c>
      <c r="E476" s="40" t="s">
        <v>1480</v>
      </c>
      <c r="F476" s="6">
        <v>8415</v>
      </c>
      <c r="G476" s="7" t="s">
        <v>1139</v>
      </c>
      <c r="H476" s="8" t="s">
        <v>80</v>
      </c>
      <c r="I476" s="5" t="s">
        <v>19</v>
      </c>
      <c r="J476" s="10" t="s">
        <v>943</v>
      </c>
      <c r="K476" s="11" t="s">
        <v>3</v>
      </c>
      <c r="L476" s="5" t="s">
        <v>1229</v>
      </c>
    </row>
    <row r="477" spans="2:12" ht="45" x14ac:dyDescent="0.25">
      <c r="B477" s="1">
        <v>484</v>
      </c>
      <c r="C477" s="5" t="s">
        <v>166</v>
      </c>
      <c r="D477" s="5" t="s">
        <v>563</v>
      </c>
      <c r="E477" s="40" t="s">
        <v>1445</v>
      </c>
      <c r="F477" s="6">
        <v>2320</v>
      </c>
      <c r="G477" s="7" t="s">
        <v>1139</v>
      </c>
      <c r="H477" s="8" t="s">
        <v>80</v>
      </c>
      <c r="I477" s="5" t="s">
        <v>19</v>
      </c>
      <c r="J477" s="10" t="s">
        <v>943</v>
      </c>
      <c r="K477" s="11" t="s">
        <v>3</v>
      </c>
      <c r="L477" s="5" t="s">
        <v>1230</v>
      </c>
    </row>
    <row r="478" spans="2:12" ht="45" x14ac:dyDescent="0.25">
      <c r="B478" s="5">
        <v>485</v>
      </c>
      <c r="C478" s="37" t="s">
        <v>997</v>
      </c>
      <c r="D478" s="5" t="s">
        <v>103</v>
      </c>
      <c r="E478" s="40" t="s">
        <v>1440</v>
      </c>
      <c r="F478" s="6" t="s">
        <v>1441</v>
      </c>
      <c r="G478" s="7" t="s">
        <v>1139</v>
      </c>
      <c r="H478" s="8" t="s">
        <v>80</v>
      </c>
      <c r="I478" s="5" t="s">
        <v>19</v>
      </c>
      <c r="J478" s="10" t="s">
        <v>946</v>
      </c>
      <c r="K478" s="11" t="s">
        <v>3</v>
      </c>
      <c r="L478" s="5" t="s">
        <v>1231</v>
      </c>
    </row>
    <row r="479" spans="2:12" ht="101.25" x14ac:dyDescent="0.25">
      <c r="B479" s="5">
        <v>486</v>
      </c>
      <c r="C479" s="64" t="s">
        <v>1412</v>
      </c>
      <c r="D479" s="5" t="s">
        <v>1049</v>
      </c>
      <c r="E479" s="40" t="s">
        <v>1430</v>
      </c>
      <c r="F479" s="6">
        <v>1260</v>
      </c>
      <c r="G479" s="7" t="s">
        <v>1142</v>
      </c>
      <c r="H479" s="8" t="s">
        <v>80</v>
      </c>
      <c r="I479" s="5" t="s">
        <v>19</v>
      </c>
      <c r="J479" s="10" t="s">
        <v>1143</v>
      </c>
      <c r="K479" s="13" t="s">
        <v>588</v>
      </c>
      <c r="L479" s="5" t="s">
        <v>1144</v>
      </c>
    </row>
    <row r="480" spans="2:12" ht="101.25" x14ac:dyDescent="0.25">
      <c r="B480" s="1">
        <v>487</v>
      </c>
      <c r="C480" s="5" t="s">
        <v>1050</v>
      </c>
      <c r="D480" s="5" t="s">
        <v>1049</v>
      </c>
      <c r="E480" s="40">
        <v>469.41</v>
      </c>
      <c r="F480" s="6">
        <v>472.5</v>
      </c>
      <c r="G480" s="7" t="s">
        <v>1142</v>
      </c>
      <c r="H480" s="8" t="s">
        <v>80</v>
      </c>
      <c r="I480" s="5" t="s">
        <v>19</v>
      </c>
      <c r="J480" s="10" t="s">
        <v>1143</v>
      </c>
      <c r="K480" s="13" t="s">
        <v>588</v>
      </c>
      <c r="L480" s="5" t="s">
        <v>1232</v>
      </c>
    </row>
    <row r="481" spans="2:12" ht="45" x14ac:dyDescent="0.25">
      <c r="B481" s="1">
        <v>488</v>
      </c>
      <c r="C481" s="5" t="s">
        <v>1450</v>
      </c>
      <c r="D481" s="5" t="s">
        <v>82</v>
      </c>
      <c r="E481" s="40" t="s">
        <v>1449</v>
      </c>
      <c r="F481" s="6">
        <v>1345</v>
      </c>
      <c r="G481" s="7" t="s">
        <v>1142</v>
      </c>
      <c r="H481" s="8" t="s">
        <v>80</v>
      </c>
      <c r="I481" s="5" t="s">
        <v>19</v>
      </c>
      <c r="J481" s="10" t="s">
        <v>944</v>
      </c>
      <c r="K481" s="11" t="s">
        <v>3</v>
      </c>
      <c r="L481" s="5" t="s">
        <v>1233</v>
      </c>
    </row>
    <row r="482" spans="2:12" ht="45" x14ac:dyDescent="0.25">
      <c r="B482" s="5">
        <v>489</v>
      </c>
      <c r="C482" s="5" t="s">
        <v>167</v>
      </c>
      <c r="D482" s="5" t="s">
        <v>82</v>
      </c>
      <c r="E482" s="40" t="s">
        <v>1479</v>
      </c>
      <c r="F482" s="6">
        <v>2987.5</v>
      </c>
      <c r="G482" s="7" t="s">
        <v>1145</v>
      </c>
      <c r="H482" s="8" t="s">
        <v>80</v>
      </c>
      <c r="I482" s="5" t="s">
        <v>19</v>
      </c>
      <c r="J482" s="10" t="s">
        <v>944</v>
      </c>
      <c r="K482" s="11" t="s">
        <v>3</v>
      </c>
      <c r="L482" s="5" t="s">
        <v>1234</v>
      </c>
    </row>
    <row r="483" spans="2:12" ht="45" x14ac:dyDescent="0.25">
      <c r="B483" s="5">
        <v>490</v>
      </c>
      <c r="C483" s="5" t="s">
        <v>166</v>
      </c>
      <c r="D483" s="5" t="s">
        <v>563</v>
      </c>
      <c r="E483" s="40" t="s">
        <v>1478</v>
      </c>
      <c r="F483" s="6">
        <v>4800</v>
      </c>
      <c r="G483" s="7" t="s">
        <v>1145</v>
      </c>
      <c r="H483" s="8" t="s">
        <v>80</v>
      </c>
      <c r="I483" s="5" t="s">
        <v>19</v>
      </c>
      <c r="J483" s="10" t="s">
        <v>943</v>
      </c>
      <c r="K483" s="11" t="s">
        <v>3</v>
      </c>
      <c r="L483" s="5" t="s">
        <v>1235</v>
      </c>
    </row>
    <row r="484" spans="2:12" ht="45" x14ac:dyDescent="0.25">
      <c r="B484" s="1">
        <v>491</v>
      </c>
      <c r="C484" s="5" t="s">
        <v>1051</v>
      </c>
      <c r="D484" s="5" t="s">
        <v>88</v>
      </c>
      <c r="E484" s="40" t="s">
        <v>1456</v>
      </c>
      <c r="F484" s="6">
        <v>480</v>
      </c>
      <c r="G484" s="7" t="s">
        <v>1145</v>
      </c>
      <c r="H484" s="8" t="s">
        <v>80</v>
      </c>
      <c r="I484" s="5" t="s">
        <v>19</v>
      </c>
      <c r="J484" s="10" t="s">
        <v>927</v>
      </c>
      <c r="K484" s="11" t="s">
        <v>3</v>
      </c>
      <c r="L484" s="5" t="s">
        <v>1236</v>
      </c>
    </row>
    <row r="485" spans="2:12" ht="45" x14ac:dyDescent="0.25">
      <c r="B485" s="1">
        <v>492</v>
      </c>
      <c r="C485" s="5" t="s">
        <v>1052</v>
      </c>
      <c r="D485" s="5" t="s">
        <v>88</v>
      </c>
      <c r="E485" s="40">
        <v>332</v>
      </c>
      <c r="F485" s="6">
        <v>480</v>
      </c>
      <c r="G485" s="7" t="s">
        <v>1145</v>
      </c>
      <c r="H485" s="8" t="s">
        <v>80</v>
      </c>
      <c r="I485" s="5" t="s">
        <v>19</v>
      </c>
      <c r="J485" s="10" t="s">
        <v>927</v>
      </c>
      <c r="K485" s="11" t="s">
        <v>3</v>
      </c>
      <c r="L485" s="5" t="s">
        <v>1237</v>
      </c>
    </row>
    <row r="486" spans="2:12" ht="45" x14ac:dyDescent="0.25">
      <c r="B486" s="5">
        <v>493</v>
      </c>
      <c r="C486" s="5" t="s">
        <v>1053</v>
      </c>
      <c r="D486" s="5" t="s">
        <v>88</v>
      </c>
      <c r="E486" s="40" t="s">
        <v>1437</v>
      </c>
      <c r="F486" s="6">
        <v>600</v>
      </c>
      <c r="G486" s="7" t="s">
        <v>1145</v>
      </c>
      <c r="H486" s="8" t="s">
        <v>80</v>
      </c>
      <c r="I486" s="5" t="s">
        <v>19</v>
      </c>
      <c r="J486" s="10" t="s">
        <v>927</v>
      </c>
      <c r="K486" s="11" t="s">
        <v>3</v>
      </c>
      <c r="L486" s="5" t="s">
        <v>1238</v>
      </c>
    </row>
    <row r="487" spans="2:12" ht="45" x14ac:dyDescent="0.25">
      <c r="B487" s="5">
        <v>494</v>
      </c>
      <c r="C487" s="5" t="s">
        <v>1053</v>
      </c>
      <c r="D487" s="5" t="s">
        <v>5</v>
      </c>
      <c r="E487" s="40">
        <v>640</v>
      </c>
      <c r="F487" s="6">
        <v>640</v>
      </c>
      <c r="G487" s="7" t="s">
        <v>1145</v>
      </c>
      <c r="H487" s="8" t="s">
        <v>80</v>
      </c>
      <c r="I487" s="5" t="s">
        <v>19</v>
      </c>
      <c r="J487" s="10" t="s">
        <v>942</v>
      </c>
      <c r="K487" s="11" t="s">
        <v>3</v>
      </c>
      <c r="L487" s="5" t="s">
        <v>1239</v>
      </c>
    </row>
    <row r="488" spans="2:12" ht="45" x14ac:dyDescent="0.25">
      <c r="B488" s="1">
        <v>495</v>
      </c>
      <c r="C488" s="5" t="s">
        <v>1039</v>
      </c>
      <c r="D488" s="5" t="s">
        <v>5</v>
      </c>
      <c r="E488" s="40" t="s">
        <v>1519</v>
      </c>
      <c r="F488" s="6">
        <v>5100</v>
      </c>
      <c r="G488" s="7" t="s">
        <v>1145</v>
      </c>
      <c r="H488" s="8" t="s">
        <v>80</v>
      </c>
      <c r="I488" s="5" t="s">
        <v>19</v>
      </c>
      <c r="J488" s="10" t="s">
        <v>942</v>
      </c>
      <c r="K488" s="11" t="s">
        <v>3</v>
      </c>
      <c r="L488" s="5" t="s">
        <v>1240</v>
      </c>
    </row>
    <row r="489" spans="2:12" ht="45" x14ac:dyDescent="0.25">
      <c r="B489" s="1">
        <v>496</v>
      </c>
      <c r="C489" s="5" t="s">
        <v>852</v>
      </c>
      <c r="D489" s="5" t="s">
        <v>88</v>
      </c>
      <c r="E489" s="40" t="s">
        <v>1438</v>
      </c>
      <c r="F489" s="6">
        <v>480</v>
      </c>
      <c r="G489" s="7" t="s">
        <v>1145</v>
      </c>
      <c r="H489" s="8" t="s">
        <v>80</v>
      </c>
      <c r="I489" s="5" t="s">
        <v>19</v>
      </c>
      <c r="J489" s="10" t="s">
        <v>927</v>
      </c>
      <c r="K489" s="11" t="s">
        <v>3</v>
      </c>
      <c r="L489" s="5" t="s">
        <v>1241</v>
      </c>
    </row>
    <row r="490" spans="2:12" ht="45" x14ac:dyDescent="0.25">
      <c r="B490" s="5">
        <v>497</v>
      </c>
      <c r="C490" s="5" t="s">
        <v>668</v>
      </c>
      <c r="D490" s="5" t="s">
        <v>88</v>
      </c>
      <c r="E490" s="40" t="s">
        <v>1442</v>
      </c>
      <c r="F490" s="6">
        <v>600</v>
      </c>
      <c r="G490" s="7" t="s">
        <v>1145</v>
      </c>
      <c r="H490" s="8" t="s">
        <v>80</v>
      </c>
      <c r="I490" s="5" t="s">
        <v>19</v>
      </c>
      <c r="J490" s="10" t="s">
        <v>927</v>
      </c>
      <c r="K490" s="11" t="s">
        <v>3</v>
      </c>
      <c r="L490" s="5" t="s">
        <v>1242</v>
      </c>
    </row>
    <row r="491" spans="2:12" ht="45" x14ac:dyDescent="0.25">
      <c r="B491" s="5">
        <v>498</v>
      </c>
      <c r="C491" s="5" t="s">
        <v>1054</v>
      </c>
      <c r="D491" s="5" t="s">
        <v>88</v>
      </c>
      <c r="E491" s="40" t="s">
        <v>1422</v>
      </c>
      <c r="F491" s="6">
        <v>1200</v>
      </c>
      <c r="G491" s="7" t="s">
        <v>1145</v>
      </c>
      <c r="H491" s="8" t="s">
        <v>80</v>
      </c>
      <c r="I491" s="5" t="s">
        <v>19</v>
      </c>
      <c r="J491" s="10" t="s">
        <v>927</v>
      </c>
      <c r="K491" s="11" t="s">
        <v>3</v>
      </c>
      <c r="L491" s="5" t="s">
        <v>1146</v>
      </c>
    </row>
    <row r="492" spans="2:12" ht="45" x14ac:dyDescent="0.25">
      <c r="B492" s="1">
        <v>499</v>
      </c>
      <c r="C492" s="5" t="s">
        <v>1055</v>
      </c>
      <c r="D492" s="5" t="s">
        <v>88</v>
      </c>
      <c r="E492" s="40" t="s">
        <v>1424</v>
      </c>
      <c r="F492" s="6">
        <v>1200</v>
      </c>
      <c r="G492" s="7" t="s">
        <v>1145</v>
      </c>
      <c r="H492" s="8" t="s">
        <v>80</v>
      </c>
      <c r="I492" s="5" t="s">
        <v>19</v>
      </c>
      <c r="J492" s="10" t="s">
        <v>927</v>
      </c>
      <c r="K492" s="11" t="s">
        <v>3</v>
      </c>
      <c r="L492" s="5" t="s">
        <v>1147</v>
      </c>
    </row>
    <row r="493" spans="2:12" ht="45" x14ac:dyDescent="0.25">
      <c r="B493" s="1">
        <v>500</v>
      </c>
      <c r="C493" s="5" t="s">
        <v>1056</v>
      </c>
      <c r="D493" s="5" t="s">
        <v>88</v>
      </c>
      <c r="E493" s="40" t="s">
        <v>1527</v>
      </c>
      <c r="F493" s="6">
        <v>1500</v>
      </c>
      <c r="G493" s="7" t="s">
        <v>1145</v>
      </c>
      <c r="H493" s="8" t="s">
        <v>80</v>
      </c>
      <c r="I493" s="5" t="s">
        <v>19</v>
      </c>
      <c r="J493" s="10" t="s">
        <v>927</v>
      </c>
      <c r="K493" s="11" t="s">
        <v>3</v>
      </c>
      <c r="L493" s="5" t="s">
        <v>1148</v>
      </c>
    </row>
    <row r="494" spans="2:12" ht="45" x14ac:dyDescent="0.25">
      <c r="B494" s="5">
        <v>501</v>
      </c>
      <c r="C494" s="5" t="s">
        <v>1057</v>
      </c>
      <c r="D494" s="5" t="s">
        <v>82</v>
      </c>
      <c r="E494" s="40" t="s">
        <v>1506</v>
      </c>
      <c r="F494" s="6">
        <v>3270</v>
      </c>
      <c r="G494" s="7" t="s">
        <v>1145</v>
      </c>
      <c r="H494" s="8" t="s">
        <v>80</v>
      </c>
      <c r="I494" s="5" t="s">
        <v>19</v>
      </c>
      <c r="J494" s="10" t="s">
        <v>944</v>
      </c>
      <c r="K494" s="11" t="s">
        <v>3</v>
      </c>
      <c r="L494" s="5" t="s">
        <v>1243</v>
      </c>
    </row>
    <row r="495" spans="2:12" ht="45" x14ac:dyDescent="0.25">
      <c r="B495" s="5">
        <v>502</v>
      </c>
      <c r="C495" s="5" t="s">
        <v>1058</v>
      </c>
      <c r="D495" s="5" t="s">
        <v>563</v>
      </c>
      <c r="E495" s="40" t="s">
        <v>1510</v>
      </c>
      <c r="F495" s="6">
        <v>6700</v>
      </c>
      <c r="G495" s="7" t="s">
        <v>1145</v>
      </c>
      <c r="H495" s="8" t="s">
        <v>80</v>
      </c>
      <c r="I495" s="5" t="s">
        <v>19</v>
      </c>
      <c r="J495" s="10" t="s">
        <v>943</v>
      </c>
      <c r="K495" s="11" t="s">
        <v>3</v>
      </c>
      <c r="L495" s="5" t="s">
        <v>1244</v>
      </c>
    </row>
    <row r="496" spans="2:12" ht="45" x14ac:dyDescent="0.25">
      <c r="B496" s="1">
        <v>503</v>
      </c>
      <c r="C496" s="5" t="s">
        <v>668</v>
      </c>
      <c r="D496" s="5" t="s">
        <v>88</v>
      </c>
      <c r="E496" s="40">
        <v>540.65</v>
      </c>
      <c r="F496" s="6">
        <v>550</v>
      </c>
      <c r="G496" s="7" t="s">
        <v>1145</v>
      </c>
      <c r="H496" s="8" t="s">
        <v>80</v>
      </c>
      <c r="I496" s="5" t="s">
        <v>19</v>
      </c>
      <c r="J496" s="10" t="s">
        <v>927</v>
      </c>
      <c r="K496" s="11" t="s">
        <v>3</v>
      </c>
      <c r="L496" s="5" t="s">
        <v>1245</v>
      </c>
    </row>
    <row r="497" spans="2:12" ht="45" x14ac:dyDescent="0.25">
      <c r="B497" s="1">
        <v>504</v>
      </c>
      <c r="C497" s="5" t="s">
        <v>1051</v>
      </c>
      <c r="D497" s="5" t="s">
        <v>88</v>
      </c>
      <c r="E497" s="40" t="s">
        <v>1477</v>
      </c>
      <c r="F497" s="6">
        <v>500</v>
      </c>
      <c r="G497" s="7" t="s">
        <v>1145</v>
      </c>
      <c r="H497" s="8" t="s">
        <v>80</v>
      </c>
      <c r="I497" s="5" t="s">
        <v>19</v>
      </c>
      <c r="J497" s="10" t="s">
        <v>927</v>
      </c>
      <c r="K497" s="11" t="s">
        <v>3</v>
      </c>
      <c r="L497" s="5" t="s">
        <v>1246</v>
      </c>
    </row>
    <row r="498" spans="2:12" ht="45" x14ac:dyDescent="0.25">
      <c r="B498" s="5">
        <v>505</v>
      </c>
      <c r="C498" s="5" t="s">
        <v>1059</v>
      </c>
      <c r="D498" s="5" t="s">
        <v>88</v>
      </c>
      <c r="E498" s="40" t="s">
        <v>1423</v>
      </c>
      <c r="F498" s="6">
        <v>1500</v>
      </c>
      <c r="G498" s="7" t="s">
        <v>1145</v>
      </c>
      <c r="H498" s="8" t="s">
        <v>80</v>
      </c>
      <c r="I498" s="5" t="s">
        <v>19</v>
      </c>
      <c r="J498" s="10" t="s">
        <v>927</v>
      </c>
      <c r="K498" s="11" t="s">
        <v>3</v>
      </c>
      <c r="L498" s="5" t="s">
        <v>1149</v>
      </c>
    </row>
    <row r="499" spans="2:12" ht="45" x14ac:dyDescent="0.25">
      <c r="B499" s="5">
        <v>506</v>
      </c>
      <c r="C499" s="5" t="s">
        <v>166</v>
      </c>
      <c r="D499" s="5" t="s">
        <v>563</v>
      </c>
      <c r="E499" s="40" t="s">
        <v>1414</v>
      </c>
      <c r="F499" s="6">
        <v>1700</v>
      </c>
      <c r="G499" s="7" t="s">
        <v>1145</v>
      </c>
      <c r="H499" s="8" t="s">
        <v>80</v>
      </c>
      <c r="I499" s="5" t="s">
        <v>19</v>
      </c>
      <c r="J499" s="10" t="s">
        <v>943</v>
      </c>
      <c r="K499" s="11" t="s">
        <v>3</v>
      </c>
      <c r="L499" s="5" t="s">
        <v>1247</v>
      </c>
    </row>
    <row r="500" spans="2:12" ht="45" x14ac:dyDescent="0.25">
      <c r="B500" s="1">
        <v>507</v>
      </c>
      <c r="C500" s="5" t="s">
        <v>1060</v>
      </c>
      <c r="D500" s="5" t="s">
        <v>88</v>
      </c>
      <c r="E500" s="40" t="s">
        <v>1431</v>
      </c>
      <c r="F500" s="6">
        <v>1920</v>
      </c>
      <c r="G500" s="7" t="s">
        <v>1145</v>
      </c>
      <c r="H500" s="8" t="s">
        <v>80</v>
      </c>
      <c r="I500" s="5" t="s">
        <v>19</v>
      </c>
      <c r="J500" s="10" t="s">
        <v>927</v>
      </c>
      <c r="K500" s="11" t="s">
        <v>3</v>
      </c>
      <c r="L500" s="5" t="s">
        <v>1248</v>
      </c>
    </row>
    <row r="501" spans="2:12" ht="45" x14ac:dyDescent="0.25">
      <c r="B501" s="1">
        <v>508</v>
      </c>
      <c r="C501" s="5" t="s">
        <v>1061</v>
      </c>
      <c r="D501" s="5" t="s">
        <v>88</v>
      </c>
      <c r="E501" s="40">
        <v>403.92</v>
      </c>
      <c r="F501" s="6">
        <v>1600</v>
      </c>
      <c r="G501" s="7" t="s">
        <v>1145</v>
      </c>
      <c r="H501" s="8" t="s">
        <v>80</v>
      </c>
      <c r="I501" s="5" t="s">
        <v>19</v>
      </c>
      <c r="J501" s="10" t="s">
        <v>927</v>
      </c>
      <c r="K501" s="11" t="s">
        <v>3</v>
      </c>
      <c r="L501" s="5" t="s">
        <v>1249</v>
      </c>
    </row>
    <row r="502" spans="2:12" ht="101.25" x14ac:dyDescent="0.25">
      <c r="B502" s="5">
        <v>509</v>
      </c>
      <c r="C502" s="5" t="s">
        <v>1062</v>
      </c>
      <c r="D502" s="5" t="s">
        <v>1063</v>
      </c>
      <c r="E502" s="40" t="s">
        <v>1476</v>
      </c>
      <c r="F502" s="6">
        <v>281.25</v>
      </c>
      <c r="G502" s="7" t="s">
        <v>1145</v>
      </c>
      <c r="H502" s="8" t="s">
        <v>80</v>
      </c>
      <c r="I502" s="5" t="s">
        <v>19</v>
      </c>
      <c r="J502" s="10" t="s">
        <v>1150</v>
      </c>
      <c r="K502" s="13" t="s">
        <v>588</v>
      </c>
      <c r="L502" s="5" t="s">
        <v>1151</v>
      </c>
    </row>
    <row r="503" spans="2:12" ht="45" x14ac:dyDescent="0.25">
      <c r="B503" s="5">
        <v>510</v>
      </c>
      <c r="C503" s="5" t="s">
        <v>1056</v>
      </c>
      <c r="D503" s="5" t="s">
        <v>5</v>
      </c>
      <c r="E503" s="40" t="s">
        <v>599</v>
      </c>
      <c r="F503" s="6" t="s">
        <v>599</v>
      </c>
      <c r="G503" s="7" t="s">
        <v>1145</v>
      </c>
      <c r="H503" s="8" t="s">
        <v>80</v>
      </c>
      <c r="I503" s="5" t="s">
        <v>19</v>
      </c>
      <c r="J503" s="10" t="s">
        <v>942</v>
      </c>
      <c r="K503" s="11" t="s">
        <v>3</v>
      </c>
      <c r="L503" s="5" t="s">
        <v>1152</v>
      </c>
    </row>
    <row r="504" spans="2:12" ht="45" x14ac:dyDescent="0.25">
      <c r="B504" s="1">
        <v>511</v>
      </c>
      <c r="C504" s="5" t="s">
        <v>840</v>
      </c>
      <c r="D504" s="5" t="s">
        <v>82</v>
      </c>
      <c r="E504" s="40" t="s">
        <v>1444</v>
      </c>
      <c r="F504" s="6">
        <v>1875</v>
      </c>
      <c r="G504" s="7" t="s">
        <v>1145</v>
      </c>
      <c r="H504" s="8" t="s">
        <v>80</v>
      </c>
      <c r="I504" s="5" t="s">
        <v>19</v>
      </c>
      <c r="J504" s="10" t="s">
        <v>944</v>
      </c>
      <c r="K504" s="11" t="s">
        <v>3</v>
      </c>
      <c r="L504" s="5" t="s">
        <v>1250</v>
      </c>
    </row>
    <row r="505" spans="2:12" ht="45" x14ac:dyDescent="0.25">
      <c r="B505" s="1">
        <v>512</v>
      </c>
      <c r="C505" s="5" t="s">
        <v>997</v>
      </c>
      <c r="D505" s="5" t="s">
        <v>103</v>
      </c>
      <c r="E505" s="40" t="s">
        <v>1453</v>
      </c>
      <c r="F505" s="6">
        <v>7720</v>
      </c>
      <c r="G505" s="7" t="s">
        <v>1145</v>
      </c>
      <c r="H505" s="8" t="s">
        <v>80</v>
      </c>
      <c r="I505" s="5" t="s">
        <v>19</v>
      </c>
      <c r="J505" s="10" t="s">
        <v>946</v>
      </c>
      <c r="K505" s="11" t="s">
        <v>3</v>
      </c>
      <c r="L505" s="5" t="s">
        <v>1251</v>
      </c>
    </row>
    <row r="506" spans="2:12" ht="45" x14ac:dyDescent="0.25">
      <c r="B506" s="5">
        <v>513</v>
      </c>
      <c r="C506" s="5" t="s">
        <v>646</v>
      </c>
      <c r="D506" s="5" t="s">
        <v>103</v>
      </c>
      <c r="E506" s="40" t="s">
        <v>1452</v>
      </c>
      <c r="F506" s="6">
        <v>2902</v>
      </c>
      <c r="G506" s="7" t="s">
        <v>1145</v>
      </c>
      <c r="H506" s="8" t="s">
        <v>80</v>
      </c>
      <c r="I506" s="5" t="s">
        <v>19</v>
      </c>
      <c r="J506" s="10" t="s">
        <v>946</v>
      </c>
      <c r="K506" s="11" t="s">
        <v>3</v>
      </c>
      <c r="L506" s="5" t="s">
        <v>1252</v>
      </c>
    </row>
    <row r="507" spans="2:12" ht="45" x14ac:dyDescent="0.25">
      <c r="B507" s="5">
        <v>514</v>
      </c>
      <c r="C507" s="5" t="s">
        <v>647</v>
      </c>
      <c r="D507" s="5" t="s">
        <v>103</v>
      </c>
      <c r="E507" s="40" t="s">
        <v>1451</v>
      </c>
      <c r="F507" s="6">
        <v>8629.1</v>
      </c>
      <c r="G507" s="7" t="s">
        <v>1145</v>
      </c>
      <c r="H507" s="8" t="s">
        <v>80</v>
      </c>
      <c r="I507" s="5" t="s">
        <v>19</v>
      </c>
      <c r="J507" s="10" t="s">
        <v>946</v>
      </c>
      <c r="K507" s="11" t="s">
        <v>3</v>
      </c>
      <c r="L507" s="5" t="s">
        <v>1253</v>
      </c>
    </row>
    <row r="508" spans="2:12" ht="45" x14ac:dyDescent="0.25">
      <c r="B508" s="1">
        <v>515</v>
      </c>
      <c r="C508" s="5" t="s">
        <v>997</v>
      </c>
      <c r="D508" s="5" t="s">
        <v>103</v>
      </c>
      <c r="E508" s="40" t="s">
        <v>1454</v>
      </c>
      <c r="F508" s="6" t="s">
        <v>1454</v>
      </c>
      <c r="G508" s="7" t="s">
        <v>1145</v>
      </c>
      <c r="H508" s="8" t="s">
        <v>80</v>
      </c>
      <c r="I508" s="5" t="s">
        <v>19</v>
      </c>
      <c r="J508" s="10" t="s">
        <v>946</v>
      </c>
      <c r="K508" s="11" t="s">
        <v>3</v>
      </c>
      <c r="L508" s="5" t="s">
        <v>1254</v>
      </c>
    </row>
    <row r="509" spans="2:12" ht="45" x14ac:dyDescent="0.2">
      <c r="B509" s="1">
        <v>516</v>
      </c>
      <c r="C509" s="5" t="s">
        <v>1064</v>
      </c>
      <c r="D509" s="5" t="s">
        <v>1065</v>
      </c>
      <c r="E509" s="40" t="s">
        <v>1504</v>
      </c>
      <c r="F509" s="6">
        <v>54.02</v>
      </c>
      <c r="G509" s="7" t="s">
        <v>1153</v>
      </c>
      <c r="H509" s="7" t="s">
        <v>80</v>
      </c>
      <c r="I509" s="5" t="s">
        <v>19</v>
      </c>
      <c r="J509" s="10" t="s">
        <v>1154</v>
      </c>
      <c r="K509" s="13" t="s">
        <v>10</v>
      </c>
      <c r="L509" s="65" t="s">
        <v>1257</v>
      </c>
    </row>
    <row r="510" spans="2:12" ht="101.25" x14ac:dyDescent="0.25">
      <c r="B510" s="5">
        <v>517</v>
      </c>
      <c r="C510" s="5" t="s">
        <v>673</v>
      </c>
      <c r="D510" s="5" t="s">
        <v>1063</v>
      </c>
      <c r="E510" s="40">
        <f>55 +40+45+720+65+985+50+1155+417+15</f>
        <v>3547</v>
      </c>
      <c r="F510" s="6">
        <v>15000</v>
      </c>
      <c r="G510" s="7" t="s">
        <v>1153</v>
      </c>
      <c r="H510" s="7" t="s">
        <v>80</v>
      </c>
      <c r="I510" s="5" t="s">
        <v>19</v>
      </c>
      <c r="J510" s="10" t="s">
        <v>1150</v>
      </c>
      <c r="K510" s="13" t="s">
        <v>588</v>
      </c>
      <c r="L510" s="66" t="s">
        <v>1258</v>
      </c>
    </row>
    <row r="511" spans="2:12" ht="45" x14ac:dyDescent="0.25">
      <c r="B511" s="1">
        <v>3</v>
      </c>
      <c r="C511" s="5" t="s">
        <v>131</v>
      </c>
      <c r="D511" s="5" t="s">
        <v>5</v>
      </c>
      <c r="E511" s="40" t="s">
        <v>1460</v>
      </c>
      <c r="F511" s="6">
        <v>55242.39</v>
      </c>
      <c r="G511" s="7" t="s">
        <v>1317</v>
      </c>
      <c r="H511" s="8" t="s">
        <v>80</v>
      </c>
      <c r="I511" s="5" t="s">
        <v>19</v>
      </c>
      <c r="J511" s="10" t="s">
        <v>942</v>
      </c>
      <c r="K511" s="11" t="s">
        <v>3</v>
      </c>
      <c r="L511" s="5" t="s">
        <v>1255</v>
      </c>
    </row>
    <row r="512" spans="2:12" ht="45" x14ac:dyDescent="0.25">
      <c r="B512" s="1">
        <v>4</v>
      </c>
      <c r="C512" s="5" t="s">
        <v>1263</v>
      </c>
      <c r="D512" s="5" t="s">
        <v>88</v>
      </c>
      <c r="E512" s="40">
        <v>819.28</v>
      </c>
      <c r="F512" s="6">
        <v>819.28</v>
      </c>
      <c r="G512" s="7" t="s">
        <v>1317</v>
      </c>
      <c r="H512" s="8" t="s">
        <v>80</v>
      </c>
      <c r="I512" s="5" t="s">
        <v>19</v>
      </c>
      <c r="J512" s="10" t="s">
        <v>927</v>
      </c>
      <c r="K512" s="11" t="s">
        <v>3</v>
      </c>
      <c r="L512" s="5" t="s">
        <v>1256</v>
      </c>
    </row>
    <row r="513" spans="2:12" ht="45" x14ac:dyDescent="0.25">
      <c r="B513" s="5">
        <v>518</v>
      </c>
      <c r="C513" s="5" t="s">
        <v>1039</v>
      </c>
      <c r="D513" s="5" t="s">
        <v>5</v>
      </c>
      <c r="E513" s="40">
        <v>656.29</v>
      </c>
      <c r="F513" s="6">
        <v>656.29</v>
      </c>
      <c r="G513" s="7" t="s">
        <v>1153</v>
      </c>
      <c r="H513" s="7" t="s">
        <v>80</v>
      </c>
      <c r="I513" s="5" t="s">
        <v>19</v>
      </c>
      <c r="J513" s="10" t="s">
        <v>942</v>
      </c>
      <c r="K513" s="11" t="s">
        <v>3</v>
      </c>
      <c r="L513" s="5" t="s">
        <v>1259</v>
      </c>
    </row>
    <row r="514" spans="2:12" ht="45" x14ac:dyDescent="0.25">
      <c r="B514" s="1">
        <v>519</v>
      </c>
      <c r="C514" s="5" t="s">
        <v>1264</v>
      </c>
      <c r="D514" s="5" t="s">
        <v>5</v>
      </c>
      <c r="E514" s="40" t="s">
        <v>1465</v>
      </c>
      <c r="F514" s="6">
        <v>21442.5</v>
      </c>
      <c r="G514" s="7" t="s">
        <v>1153</v>
      </c>
      <c r="H514" s="7" t="s">
        <v>80</v>
      </c>
      <c r="I514" s="5" t="s">
        <v>19</v>
      </c>
      <c r="J514" s="10" t="s">
        <v>942</v>
      </c>
      <c r="K514" s="11" t="s">
        <v>3</v>
      </c>
      <c r="L514" s="5" t="s">
        <v>1260</v>
      </c>
    </row>
    <row r="515" spans="2:12" ht="45" x14ac:dyDescent="0.25">
      <c r="B515" s="1">
        <v>520</v>
      </c>
      <c r="C515" s="5" t="s">
        <v>1264</v>
      </c>
      <c r="D515" s="5" t="s">
        <v>88</v>
      </c>
      <c r="E515" s="40" t="s">
        <v>1464</v>
      </c>
      <c r="F515" s="6">
        <v>13260</v>
      </c>
      <c r="G515" s="7" t="s">
        <v>1153</v>
      </c>
      <c r="H515" s="7" t="s">
        <v>80</v>
      </c>
      <c r="I515" s="5" t="s">
        <v>19</v>
      </c>
      <c r="J515" s="10" t="s">
        <v>927</v>
      </c>
      <c r="K515" s="11" t="s">
        <v>3</v>
      </c>
      <c r="L515" s="5" t="s">
        <v>1261</v>
      </c>
    </row>
    <row r="516" spans="2:12" ht="45" x14ac:dyDescent="0.25">
      <c r="B516" s="5">
        <v>521</v>
      </c>
      <c r="C516" s="5" t="s">
        <v>646</v>
      </c>
      <c r="D516" s="5" t="s">
        <v>103</v>
      </c>
      <c r="E516" s="40" t="s">
        <v>603</v>
      </c>
      <c r="F516" s="6">
        <v>2000</v>
      </c>
      <c r="G516" s="7" t="s">
        <v>1153</v>
      </c>
      <c r="H516" s="7" t="s">
        <v>80</v>
      </c>
      <c r="I516" s="5" t="s">
        <v>19</v>
      </c>
      <c r="J516" s="10" t="s">
        <v>946</v>
      </c>
      <c r="K516" s="11" t="s">
        <v>3</v>
      </c>
      <c r="L516" s="5" t="s">
        <v>1262</v>
      </c>
    </row>
    <row r="517" spans="2:12" ht="101.25" x14ac:dyDescent="0.25">
      <c r="B517" s="1">
        <v>523</v>
      </c>
      <c r="C517" s="5" t="s">
        <v>1265</v>
      </c>
      <c r="D517" s="5" t="s">
        <v>1266</v>
      </c>
      <c r="E517" s="40" t="s">
        <v>1443</v>
      </c>
      <c r="F517" s="6">
        <v>4282.5</v>
      </c>
      <c r="G517" s="7" t="s">
        <v>1318</v>
      </c>
      <c r="H517" s="7" t="s">
        <v>80</v>
      </c>
      <c r="I517" s="5" t="s">
        <v>19</v>
      </c>
      <c r="J517" s="10" t="s">
        <v>942</v>
      </c>
      <c r="K517" s="13" t="s">
        <v>588</v>
      </c>
      <c r="L517" s="5" t="s">
        <v>1319</v>
      </c>
    </row>
    <row r="518" spans="2:12" ht="45" x14ac:dyDescent="0.25">
      <c r="B518" s="5">
        <v>525</v>
      </c>
      <c r="C518" s="5" t="s">
        <v>396</v>
      </c>
      <c r="D518" s="5" t="s">
        <v>82</v>
      </c>
      <c r="E518" s="40" t="s">
        <v>1466</v>
      </c>
      <c r="F518" s="6">
        <v>1782.5</v>
      </c>
      <c r="G518" s="7" t="s">
        <v>1318</v>
      </c>
      <c r="H518" s="7" t="s">
        <v>80</v>
      </c>
      <c r="I518" s="5" t="s">
        <v>19</v>
      </c>
      <c r="J518" s="10" t="s">
        <v>944</v>
      </c>
      <c r="K518" s="11" t="s">
        <v>3</v>
      </c>
      <c r="L518" s="5" t="s">
        <v>1320</v>
      </c>
    </row>
    <row r="519" spans="2:12" ht="45" x14ac:dyDescent="0.25">
      <c r="B519" s="5">
        <v>526</v>
      </c>
      <c r="C519" s="5" t="s">
        <v>454</v>
      </c>
      <c r="D519" s="5" t="s">
        <v>563</v>
      </c>
      <c r="E519" s="40" t="s">
        <v>1489</v>
      </c>
      <c r="F519" s="6">
        <v>4320</v>
      </c>
      <c r="G519" s="7" t="s">
        <v>1318</v>
      </c>
      <c r="H519" s="7" t="s">
        <v>80</v>
      </c>
      <c r="I519" s="5" t="s">
        <v>19</v>
      </c>
      <c r="J519" s="10" t="s">
        <v>943</v>
      </c>
      <c r="K519" s="11" t="s">
        <v>3</v>
      </c>
      <c r="L519" s="5" t="s">
        <v>1321</v>
      </c>
    </row>
    <row r="520" spans="2:12" ht="45" x14ac:dyDescent="0.25">
      <c r="B520" s="1">
        <v>527</v>
      </c>
      <c r="C520" s="5" t="s">
        <v>1267</v>
      </c>
      <c r="D520" s="5" t="s">
        <v>88</v>
      </c>
      <c r="E520" s="40">
        <v>295.5</v>
      </c>
      <c r="F520" s="6">
        <v>440</v>
      </c>
      <c r="G520" s="7" t="s">
        <v>1318</v>
      </c>
      <c r="H520" s="7" t="s">
        <v>80</v>
      </c>
      <c r="I520" s="5" t="s">
        <v>19</v>
      </c>
      <c r="J520" s="10" t="s">
        <v>927</v>
      </c>
      <c r="K520" s="11" t="s">
        <v>3</v>
      </c>
      <c r="L520" s="5" t="s">
        <v>1322</v>
      </c>
    </row>
    <row r="521" spans="2:12" ht="45" x14ac:dyDescent="0.25">
      <c r="B521" s="1">
        <v>528</v>
      </c>
      <c r="C521" s="5" t="s">
        <v>1268</v>
      </c>
      <c r="D521" s="5" t="s">
        <v>88</v>
      </c>
      <c r="E521" s="40" t="s">
        <v>1490</v>
      </c>
      <c r="F521" s="6">
        <v>440</v>
      </c>
      <c r="G521" s="7" t="s">
        <v>1318</v>
      </c>
      <c r="H521" s="7" t="s">
        <v>80</v>
      </c>
      <c r="I521" s="5" t="s">
        <v>19</v>
      </c>
      <c r="J521" s="10" t="s">
        <v>927</v>
      </c>
      <c r="K521" s="11" t="s">
        <v>3</v>
      </c>
      <c r="L521" s="5" t="s">
        <v>1323</v>
      </c>
    </row>
    <row r="522" spans="2:12" ht="45" x14ac:dyDescent="0.25">
      <c r="B522" s="5">
        <v>529</v>
      </c>
      <c r="C522" s="5" t="s">
        <v>1269</v>
      </c>
      <c r="D522" s="5" t="s">
        <v>5</v>
      </c>
      <c r="E522" s="40" t="s">
        <v>958</v>
      </c>
      <c r="F522" s="6">
        <v>1200</v>
      </c>
      <c r="G522" s="7" t="s">
        <v>1318</v>
      </c>
      <c r="H522" s="7" t="s">
        <v>80</v>
      </c>
      <c r="I522" s="5" t="s">
        <v>19</v>
      </c>
      <c r="J522" s="10" t="s">
        <v>942</v>
      </c>
      <c r="K522" s="11" t="s">
        <v>3</v>
      </c>
      <c r="L522" s="5" t="s">
        <v>1324</v>
      </c>
    </row>
    <row r="523" spans="2:12" ht="45" x14ac:dyDescent="0.25">
      <c r="B523" s="5">
        <v>530</v>
      </c>
      <c r="C523" s="5" t="s">
        <v>1269</v>
      </c>
      <c r="D523" s="5" t="s">
        <v>88</v>
      </c>
      <c r="E523" s="40" t="s">
        <v>1496</v>
      </c>
      <c r="F523" s="6">
        <v>1100</v>
      </c>
      <c r="G523" s="7" t="s">
        <v>1318</v>
      </c>
      <c r="H523" s="7" t="s">
        <v>80</v>
      </c>
      <c r="I523" s="5" t="s">
        <v>19</v>
      </c>
      <c r="J523" s="10" t="s">
        <v>927</v>
      </c>
      <c r="K523" s="11" t="s">
        <v>3</v>
      </c>
      <c r="L523" s="5" t="s">
        <v>1325</v>
      </c>
    </row>
    <row r="524" spans="2:12" ht="45" x14ac:dyDescent="0.25">
      <c r="B524" s="1">
        <v>531</v>
      </c>
      <c r="C524" s="5" t="s">
        <v>1021</v>
      </c>
      <c r="D524" s="5" t="s">
        <v>88</v>
      </c>
      <c r="E524" s="40">
        <v>440</v>
      </c>
      <c r="F524" s="6">
        <v>440</v>
      </c>
      <c r="G524" s="7" t="s">
        <v>1318</v>
      </c>
      <c r="H524" s="7" t="s">
        <v>80</v>
      </c>
      <c r="I524" s="5" t="s">
        <v>19</v>
      </c>
      <c r="J524" s="10" t="s">
        <v>927</v>
      </c>
      <c r="K524" s="11" t="s">
        <v>3</v>
      </c>
      <c r="L524" s="5" t="s">
        <v>1326</v>
      </c>
    </row>
    <row r="525" spans="2:12" ht="45" x14ac:dyDescent="0.25">
      <c r="B525" s="1">
        <v>532</v>
      </c>
      <c r="C525" s="5" t="s">
        <v>1270</v>
      </c>
      <c r="D525" s="5" t="s">
        <v>5</v>
      </c>
      <c r="E525" s="40" t="s">
        <v>1497</v>
      </c>
      <c r="F525" s="6">
        <v>5225</v>
      </c>
      <c r="G525" s="7" t="s">
        <v>1318</v>
      </c>
      <c r="H525" s="7" t="s">
        <v>80</v>
      </c>
      <c r="I525" s="5" t="s">
        <v>19</v>
      </c>
      <c r="J525" s="10" t="s">
        <v>942</v>
      </c>
      <c r="K525" s="11" t="s">
        <v>3</v>
      </c>
      <c r="L525" s="5" t="s">
        <v>1327</v>
      </c>
    </row>
    <row r="526" spans="2:12" ht="45" x14ac:dyDescent="0.25">
      <c r="B526" s="5">
        <v>533</v>
      </c>
      <c r="C526" s="5" t="s">
        <v>1270</v>
      </c>
      <c r="D526" s="5" t="s">
        <v>88</v>
      </c>
      <c r="E526" s="40">
        <v>990</v>
      </c>
      <c r="F526" s="6">
        <v>1100</v>
      </c>
      <c r="G526" s="7" t="s">
        <v>1318</v>
      </c>
      <c r="H526" s="7" t="s">
        <v>80</v>
      </c>
      <c r="I526" s="5" t="s">
        <v>19</v>
      </c>
      <c r="J526" s="10" t="s">
        <v>927</v>
      </c>
      <c r="K526" s="11" t="s">
        <v>3</v>
      </c>
      <c r="L526" s="5" t="s">
        <v>1328</v>
      </c>
    </row>
    <row r="527" spans="2:12" ht="45" x14ac:dyDescent="0.25">
      <c r="B527" s="1">
        <v>535</v>
      </c>
      <c r="C527" s="5" t="s">
        <v>1044</v>
      </c>
      <c r="D527" s="5" t="s">
        <v>88</v>
      </c>
      <c r="E527" s="40" t="s">
        <v>1457</v>
      </c>
      <c r="F527" s="6">
        <v>1600</v>
      </c>
      <c r="G527" s="7" t="s">
        <v>1318</v>
      </c>
      <c r="H527" s="7" t="s">
        <v>80</v>
      </c>
      <c r="I527" s="5" t="s">
        <v>19</v>
      </c>
      <c r="J527" s="10" t="s">
        <v>927</v>
      </c>
      <c r="K527" s="11" t="s">
        <v>3</v>
      </c>
      <c r="L527" s="5" t="s">
        <v>1329</v>
      </c>
    </row>
    <row r="528" spans="2:12" ht="45" x14ac:dyDescent="0.25">
      <c r="B528" s="1">
        <v>536</v>
      </c>
      <c r="C528" s="5" t="s">
        <v>1271</v>
      </c>
      <c r="D528" s="5" t="s">
        <v>88</v>
      </c>
      <c r="E528" s="40" t="s">
        <v>1484</v>
      </c>
      <c r="F528" s="6">
        <v>182</v>
      </c>
      <c r="G528" s="7" t="s">
        <v>1318</v>
      </c>
      <c r="H528" s="7" t="s">
        <v>80</v>
      </c>
      <c r="I528" s="5" t="s">
        <v>19</v>
      </c>
      <c r="J528" s="10" t="s">
        <v>927</v>
      </c>
      <c r="K528" s="11" t="s">
        <v>3</v>
      </c>
      <c r="L528" s="5" t="s">
        <v>1330</v>
      </c>
    </row>
    <row r="529" spans="2:12" ht="45" x14ac:dyDescent="0.25">
      <c r="B529" s="5">
        <v>537</v>
      </c>
      <c r="C529" s="5" t="s">
        <v>651</v>
      </c>
      <c r="D529" s="5" t="s">
        <v>82</v>
      </c>
      <c r="E529" s="40" t="s">
        <v>1534</v>
      </c>
      <c r="F529" s="6">
        <v>5162.5</v>
      </c>
      <c r="G529" s="7" t="s">
        <v>1318</v>
      </c>
      <c r="H529" s="7" t="s">
        <v>80</v>
      </c>
      <c r="I529" s="5" t="s">
        <v>19</v>
      </c>
      <c r="J529" s="10" t="s">
        <v>944</v>
      </c>
      <c r="K529" s="11" t="s">
        <v>3</v>
      </c>
      <c r="L529" s="5" t="s">
        <v>1331</v>
      </c>
    </row>
    <row r="530" spans="2:12" ht="45" x14ac:dyDescent="0.25">
      <c r="B530" s="5">
        <v>538</v>
      </c>
      <c r="C530" s="5" t="s">
        <v>454</v>
      </c>
      <c r="D530" s="5" t="s">
        <v>563</v>
      </c>
      <c r="E530" s="40" t="s">
        <v>1535</v>
      </c>
      <c r="F530" s="6">
        <v>5950</v>
      </c>
      <c r="G530" s="7" t="s">
        <v>1318</v>
      </c>
      <c r="H530" s="7" t="s">
        <v>80</v>
      </c>
      <c r="I530" s="5" t="s">
        <v>19</v>
      </c>
      <c r="J530" s="10" t="s">
        <v>943</v>
      </c>
      <c r="K530" s="11" t="s">
        <v>3</v>
      </c>
      <c r="L530" s="5" t="s">
        <v>1332</v>
      </c>
    </row>
    <row r="531" spans="2:12" ht="45" x14ac:dyDescent="0.25">
      <c r="B531" s="1">
        <v>539</v>
      </c>
      <c r="C531" s="5" t="s">
        <v>960</v>
      </c>
      <c r="D531" s="5" t="s">
        <v>5</v>
      </c>
      <c r="E531" s="40">
        <v>599.16</v>
      </c>
      <c r="F531" s="6">
        <v>649</v>
      </c>
      <c r="G531" s="7" t="s">
        <v>1318</v>
      </c>
      <c r="H531" s="7" t="s">
        <v>80</v>
      </c>
      <c r="I531" s="5" t="s">
        <v>19</v>
      </c>
      <c r="J531" s="10" t="s">
        <v>942</v>
      </c>
      <c r="K531" s="11" t="s">
        <v>3</v>
      </c>
      <c r="L531" s="5" t="s">
        <v>1333</v>
      </c>
    </row>
    <row r="532" spans="2:12" ht="45" x14ac:dyDescent="0.25">
      <c r="B532" s="1">
        <v>540</v>
      </c>
      <c r="C532" s="5" t="s">
        <v>1040</v>
      </c>
      <c r="D532" s="5" t="s">
        <v>5</v>
      </c>
      <c r="E532" s="40" t="s">
        <v>1507</v>
      </c>
      <c r="F532" s="6">
        <v>24381.75</v>
      </c>
      <c r="G532" s="7" t="s">
        <v>1318</v>
      </c>
      <c r="H532" s="7" t="s">
        <v>80</v>
      </c>
      <c r="I532" s="5" t="s">
        <v>19</v>
      </c>
      <c r="J532" s="10" t="s">
        <v>942</v>
      </c>
      <c r="K532" s="11" t="s">
        <v>3</v>
      </c>
      <c r="L532" s="5" t="s">
        <v>1334</v>
      </c>
    </row>
    <row r="533" spans="2:12" ht="101.25" x14ac:dyDescent="0.25">
      <c r="B533" s="5">
        <v>541</v>
      </c>
      <c r="C533" s="5" t="s">
        <v>1272</v>
      </c>
      <c r="D533" s="5" t="s">
        <v>1273</v>
      </c>
      <c r="E533" s="40">
        <f>10321.22+8601.02+6880.81</f>
        <v>25803.05</v>
      </c>
      <c r="F533" s="6">
        <v>25803.05</v>
      </c>
      <c r="G533" s="7" t="s">
        <v>1335</v>
      </c>
      <c r="H533" s="7" t="s">
        <v>80</v>
      </c>
      <c r="I533" s="5" t="s">
        <v>19</v>
      </c>
      <c r="J533" s="10" t="s">
        <v>929</v>
      </c>
      <c r="K533" s="13" t="s">
        <v>1336</v>
      </c>
      <c r="L533" s="5" t="s">
        <v>1337</v>
      </c>
    </row>
    <row r="534" spans="2:12" ht="45" x14ac:dyDescent="0.25">
      <c r="B534" s="1">
        <v>543</v>
      </c>
      <c r="C534" s="5" t="s">
        <v>102</v>
      </c>
      <c r="D534" s="5" t="s">
        <v>103</v>
      </c>
      <c r="E534" s="40" t="s">
        <v>1485</v>
      </c>
      <c r="F534" s="6">
        <v>8100</v>
      </c>
      <c r="G534" s="7" t="s">
        <v>1335</v>
      </c>
      <c r="H534" s="7" t="s">
        <v>80</v>
      </c>
      <c r="I534" s="5" t="s">
        <v>19</v>
      </c>
      <c r="J534" s="10" t="s">
        <v>946</v>
      </c>
      <c r="K534" s="11" t="s">
        <v>3</v>
      </c>
      <c r="L534" s="5" t="s">
        <v>1338</v>
      </c>
    </row>
    <row r="535" spans="2:12" ht="45" x14ac:dyDescent="0.25">
      <c r="B535" s="1">
        <v>544</v>
      </c>
      <c r="C535" s="67" t="s">
        <v>647</v>
      </c>
      <c r="D535" s="5" t="s">
        <v>103</v>
      </c>
      <c r="E535" s="40" t="s">
        <v>1481</v>
      </c>
      <c r="F535" s="6">
        <v>3038.2</v>
      </c>
      <c r="G535" s="7" t="s">
        <v>1335</v>
      </c>
      <c r="H535" s="7" t="s">
        <v>80</v>
      </c>
      <c r="I535" s="5" t="s">
        <v>19</v>
      </c>
      <c r="J535" s="10" t="s">
        <v>946</v>
      </c>
      <c r="K535" s="11" t="s">
        <v>3</v>
      </c>
      <c r="L535" s="5" t="s">
        <v>1339</v>
      </c>
    </row>
    <row r="536" spans="2:12" ht="45" x14ac:dyDescent="0.25">
      <c r="B536" s="5">
        <v>545</v>
      </c>
      <c r="C536" s="5" t="s">
        <v>646</v>
      </c>
      <c r="D536" s="5" t="s">
        <v>103</v>
      </c>
      <c r="E536" s="40" t="s">
        <v>1487</v>
      </c>
      <c r="F536" s="6">
        <v>2660</v>
      </c>
      <c r="G536" s="7" t="s">
        <v>1335</v>
      </c>
      <c r="H536" s="7" t="s">
        <v>80</v>
      </c>
      <c r="I536" s="5" t="s">
        <v>19</v>
      </c>
      <c r="J536" s="10" t="s">
        <v>946</v>
      </c>
      <c r="K536" s="11" t="s">
        <v>3</v>
      </c>
      <c r="L536" s="5" t="s">
        <v>1340</v>
      </c>
    </row>
    <row r="537" spans="2:12" ht="45" x14ac:dyDescent="0.25">
      <c r="B537" s="5">
        <v>546</v>
      </c>
      <c r="C537" s="5" t="s">
        <v>102</v>
      </c>
      <c r="D537" s="5" t="s">
        <v>103</v>
      </c>
      <c r="E537" s="40" t="s">
        <v>1486</v>
      </c>
      <c r="F537" s="6">
        <v>18609.900000000001</v>
      </c>
      <c r="G537" s="7" t="s">
        <v>1335</v>
      </c>
      <c r="H537" s="7" t="s">
        <v>80</v>
      </c>
      <c r="I537" s="5" t="s">
        <v>19</v>
      </c>
      <c r="J537" s="10" t="s">
        <v>946</v>
      </c>
      <c r="K537" s="11" t="s">
        <v>3</v>
      </c>
      <c r="L537" s="5" t="s">
        <v>1341</v>
      </c>
    </row>
    <row r="538" spans="2:12" ht="45" x14ac:dyDescent="0.25">
      <c r="B538" s="1">
        <v>547</v>
      </c>
      <c r="C538" s="67" t="s">
        <v>668</v>
      </c>
      <c r="D538" s="5" t="s">
        <v>88</v>
      </c>
      <c r="E538" s="40" t="s">
        <v>1458</v>
      </c>
      <c r="F538" s="6">
        <v>720</v>
      </c>
      <c r="G538" s="7" t="s">
        <v>1342</v>
      </c>
      <c r="H538" s="8" t="s">
        <v>80</v>
      </c>
      <c r="I538" s="5" t="s">
        <v>19</v>
      </c>
      <c r="J538" s="10" t="s">
        <v>927</v>
      </c>
      <c r="K538" s="11" t="s">
        <v>3</v>
      </c>
      <c r="L538" s="5" t="s">
        <v>1343</v>
      </c>
    </row>
    <row r="539" spans="2:12" ht="45" x14ac:dyDescent="0.25">
      <c r="B539" s="1">
        <v>548</v>
      </c>
      <c r="C539" s="5" t="s">
        <v>1274</v>
      </c>
      <c r="D539" s="5" t="s">
        <v>88</v>
      </c>
      <c r="E539" s="40" t="s">
        <v>1528</v>
      </c>
      <c r="F539" s="6">
        <v>760</v>
      </c>
      <c r="G539" s="7" t="s">
        <v>1342</v>
      </c>
      <c r="H539" s="8" t="s">
        <v>80</v>
      </c>
      <c r="I539" s="5" t="s">
        <v>19</v>
      </c>
      <c r="J539" s="10" t="s">
        <v>927</v>
      </c>
      <c r="K539" s="11" t="s">
        <v>3</v>
      </c>
      <c r="L539" s="5" t="s">
        <v>1344</v>
      </c>
    </row>
    <row r="540" spans="2:12" ht="45" x14ac:dyDescent="0.25">
      <c r="B540" s="5">
        <v>549</v>
      </c>
      <c r="C540" s="5" t="s">
        <v>648</v>
      </c>
      <c r="D540" s="5" t="s">
        <v>5</v>
      </c>
      <c r="E540" s="40" t="s">
        <v>1494</v>
      </c>
      <c r="F540" s="6">
        <v>1440.64</v>
      </c>
      <c r="G540" s="7" t="s">
        <v>1342</v>
      </c>
      <c r="H540" s="8" t="s">
        <v>80</v>
      </c>
      <c r="I540" s="5" t="s">
        <v>19</v>
      </c>
      <c r="J540" s="10" t="s">
        <v>942</v>
      </c>
      <c r="K540" s="11" t="s">
        <v>3</v>
      </c>
      <c r="L540" s="5" t="s">
        <v>1345</v>
      </c>
    </row>
    <row r="541" spans="2:12" s="5" customFormat="1" ht="45" x14ac:dyDescent="0.25">
      <c r="B541" s="5">
        <v>550</v>
      </c>
      <c r="C541" s="5" t="s">
        <v>1275</v>
      </c>
      <c r="D541" s="5" t="s">
        <v>88</v>
      </c>
      <c r="E541" s="40" t="s">
        <v>1499</v>
      </c>
      <c r="F541" s="6">
        <v>400</v>
      </c>
      <c r="G541" s="7" t="s">
        <v>1342</v>
      </c>
      <c r="H541" s="8" t="s">
        <v>80</v>
      </c>
      <c r="I541" s="5" t="s">
        <v>19</v>
      </c>
      <c r="J541" s="10" t="s">
        <v>927</v>
      </c>
      <c r="K541" s="11" t="s">
        <v>3</v>
      </c>
      <c r="L541" s="5" t="s">
        <v>1346</v>
      </c>
    </row>
    <row r="542" spans="2:12" ht="45" x14ac:dyDescent="0.25">
      <c r="B542" s="1">
        <v>551</v>
      </c>
      <c r="C542" s="5" t="s">
        <v>1276</v>
      </c>
      <c r="D542" s="5" t="s">
        <v>88</v>
      </c>
      <c r="E542" s="40" t="s">
        <v>1488</v>
      </c>
      <c r="F542" s="6">
        <v>5000</v>
      </c>
      <c r="G542" s="7" t="s">
        <v>1342</v>
      </c>
      <c r="H542" s="8" t="s">
        <v>80</v>
      </c>
      <c r="I542" s="5" t="s">
        <v>19</v>
      </c>
      <c r="J542" s="10" t="s">
        <v>927</v>
      </c>
      <c r="K542" s="11" t="s">
        <v>3</v>
      </c>
      <c r="L542" s="5" t="s">
        <v>1347</v>
      </c>
    </row>
    <row r="543" spans="2:12" ht="45" x14ac:dyDescent="0.25">
      <c r="B543" s="1">
        <v>552</v>
      </c>
      <c r="C543" s="5" t="s">
        <v>1277</v>
      </c>
      <c r="D543" s="5" t="s">
        <v>88</v>
      </c>
      <c r="E543" s="40" t="s">
        <v>1498</v>
      </c>
      <c r="F543" s="6">
        <v>480</v>
      </c>
      <c r="G543" s="7" t="s">
        <v>1342</v>
      </c>
      <c r="H543" s="8" t="s">
        <v>80</v>
      </c>
      <c r="I543" s="5" t="s">
        <v>19</v>
      </c>
      <c r="J543" s="10" t="s">
        <v>927</v>
      </c>
      <c r="K543" s="11" t="s">
        <v>3</v>
      </c>
      <c r="L543" s="5" t="s">
        <v>1348</v>
      </c>
    </row>
    <row r="544" spans="2:12" ht="45" x14ac:dyDescent="0.25">
      <c r="B544" s="5">
        <v>553</v>
      </c>
      <c r="C544" s="5" t="s">
        <v>454</v>
      </c>
      <c r="D544" s="5" t="s">
        <v>82</v>
      </c>
      <c r="E544" s="40" t="s">
        <v>1493</v>
      </c>
      <c r="F544" s="6">
        <v>2400</v>
      </c>
      <c r="G544" s="7" t="s">
        <v>1342</v>
      </c>
      <c r="H544" s="8" t="s">
        <v>80</v>
      </c>
      <c r="I544" s="5" t="s">
        <v>19</v>
      </c>
      <c r="J544" s="10" t="s">
        <v>944</v>
      </c>
      <c r="K544" s="11" t="s">
        <v>3</v>
      </c>
      <c r="L544" s="5" t="s">
        <v>1349</v>
      </c>
    </row>
    <row r="545" spans="2:12" ht="45" x14ac:dyDescent="0.25">
      <c r="B545" s="5">
        <v>554</v>
      </c>
      <c r="C545" s="5" t="s">
        <v>454</v>
      </c>
      <c r="D545" s="5" t="s">
        <v>563</v>
      </c>
      <c r="E545" s="40" t="s">
        <v>1491</v>
      </c>
      <c r="F545" s="6">
        <v>7550</v>
      </c>
      <c r="G545" s="7" t="s">
        <v>1342</v>
      </c>
      <c r="H545" s="8" t="s">
        <v>80</v>
      </c>
      <c r="I545" s="5" t="s">
        <v>19</v>
      </c>
      <c r="J545" s="10" t="s">
        <v>943</v>
      </c>
      <c r="K545" s="11" t="s">
        <v>3</v>
      </c>
      <c r="L545" s="5" t="s">
        <v>1350</v>
      </c>
    </row>
    <row r="546" spans="2:12" ht="45" x14ac:dyDescent="0.25">
      <c r="B546" s="1">
        <v>555</v>
      </c>
      <c r="C546" s="5" t="s">
        <v>1508</v>
      </c>
      <c r="D546" s="5" t="s">
        <v>1278</v>
      </c>
      <c r="E546" s="40" t="s">
        <v>1509</v>
      </c>
      <c r="F546" s="6">
        <v>7439.95</v>
      </c>
      <c r="G546" s="7" t="s">
        <v>1342</v>
      </c>
      <c r="H546" s="8" t="s">
        <v>80</v>
      </c>
      <c r="I546" s="5" t="s">
        <v>19</v>
      </c>
      <c r="J546" s="10" t="s">
        <v>942</v>
      </c>
      <c r="K546" s="11" t="s">
        <v>3</v>
      </c>
      <c r="L546" s="5" t="s">
        <v>1351</v>
      </c>
    </row>
    <row r="547" spans="2:12" ht="45" x14ac:dyDescent="0.25">
      <c r="B547" s="1">
        <v>556</v>
      </c>
      <c r="C547" s="5" t="s">
        <v>1279</v>
      </c>
      <c r="D547" s="5" t="s">
        <v>563</v>
      </c>
      <c r="E547" s="40" t="s">
        <v>1492</v>
      </c>
      <c r="F547" s="6">
        <v>3950</v>
      </c>
      <c r="G547" s="7" t="s">
        <v>1342</v>
      </c>
      <c r="H547" s="8" t="s">
        <v>80</v>
      </c>
      <c r="I547" s="5" t="s">
        <v>19</v>
      </c>
      <c r="J547" s="10" t="s">
        <v>943</v>
      </c>
      <c r="K547" s="11" t="s">
        <v>3</v>
      </c>
      <c r="L547" s="5" t="s">
        <v>1352</v>
      </c>
    </row>
    <row r="548" spans="2:12" ht="45" x14ac:dyDescent="0.25">
      <c r="B548" s="5">
        <v>558</v>
      </c>
      <c r="C548" s="5" t="s">
        <v>1280</v>
      </c>
      <c r="D548" s="5" t="s">
        <v>5</v>
      </c>
      <c r="E548" s="40">
        <v>303.36</v>
      </c>
      <c r="F548" s="6">
        <v>315</v>
      </c>
      <c r="G548" s="7" t="s">
        <v>1342</v>
      </c>
      <c r="H548" s="8" t="s">
        <v>80</v>
      </c>
      <c r="I548" s="5" t="s">
        <v>19</v>
      </c>
      <c r="J548" s="10" t="s">
        <v>942</v>
      </c>
      <c r="K548" s="11" t="s">
        <v>3</v>
      </c>
      <c r="L548" s="5" t="s">
        <v>1353</v>
      </c>
    </row>
    <row r="549" spans="2:12" ht="45" x14ac:dyDescent="0.25">
      <c r="B549" s="1">
        <v>559</v>
      </c>
      <c r="C549" s="5" t="s">
        <v>1042</v>
      </c>
      <c r="D549" s="5" t="s">
        <v>5</v>
      </c>
      <c r="E549" s="40" t="s">
        <v>1886</v>
      </c>
      <c r="F549" s="6">
        <v>300</v>
      </c>
      <c r="G549" s="7" t="s">
        <v>1342</v>
      </c>
      <c r="H549" s="8" t="s">
        <v>80</v>
      </c>
      <c r="I549" s="5" t="s">
        <v>19</v>
      </c>
      <c r="J549" s="10" t="s">
        <v>942</v>
      </c>
      <c r="K549" s="11" t="s">
        <v>3</v>
      </c>
      <c r="L549" s="5" t="s">
        <v>1354</v>
      </c>
    </row>
    <row r="550" spans="2:12" ht="45" x14ac:dyDescent="0.25">
      <c r="B550" s="1">
        <v>560</v>
      </c>
      <c r="C550" s="5" t="s">
        <v>614</v>
      </c>
      <c r="D550" s="5" t="s">
        <v>88</v>
      </c>
      <c r="E550" s="40">
        <v>82</v>
      </c>
      <c r="F550" s="6">
        <v>100</v>
      </c>
      <c r="G550" s="7" t="s">
        <v>1342</v>
      </c>
      <c r="H550" s="8" t="s">
        <v>80</v>
      </c>
      <c r="I550" s="5" t="s">
        <v>19</v>
      </c>
      <c r="J550" s="10" t="s">
        <v>927</v>
      </c>
      <c r="K550" s="11" t="s">
        <v>3</v>
      </c>
      <c r="L550" s="5" t="s">
        <v>1355</v>
      </c>
    </row>
    <row r="551" spans="2:12" s="5" customFormat="1" ht="45" x14ac:dyDescent="0.25">
      <c r="B551" s="5">
        <v>561</v>
      </c>
      <c r="C551" s="5" t="s">
        <v>1021</v>
      </c>
      <c r="D551" s="5" t="s">
        <v>88</v>
      </c>
      <c r="E551" s="40" t="s">
        <v>520</v>
      </c>
      <c r="F551" s="6">
        <v>50</v>
      </c>
      <c r="G551" s="7" t="s">
        <v>1342</v>
      </c>
      <c r="H551" s="8" t="s">
        <v>80</v>
      </c>
      <c r="I551" s="5" t="s">
        <v>19</v>
      </c>
      <c r="J551" s="10" t="s">
        <v>927</v>
      </c>
      <c r="K551" s="11" t="s">
        <v>3</v>
      </c>
      <c r="L551" s="5" t="s">
        <v>1356</v>
      </c>
    </row>
    <row r="552" spans="2:12" ht="45" x14ac:dyDescent="0.25">
      <c r="B552" s="5">
        <v>562</v>
      </c>
      <c r="C552" s="5" t="s">
        <v>509</v>
      </c>
      <c r="D552" s="5" t="s">
        <v>88</v>
      </c>
      <c r="E552" s="40" t="s">
        <v>1470</v>
      </c>
      <c r="F552" s="6">
        <v>150</v>
      </c>
      <c r="G552" s="7" t="s">
        <v>1342</v>
      </c>
      <c r="H552" s="8" t="s">
        <v>80</v>
      </c>
      <c r="I552" s="5" t="s">
        <v>19</v>
      </c>
      <c r="J552" s="10" t="s">
        <v>927</v>
      </c>
      <c r="K552" s="11" t="s">
        <v>3</v>
      </c>
      <c r="L552" s="5" t="s">
        <v>1357</v>
      </c>
    </row>
    <row r="553" spans="2:12" ht="45" x14ac:dyDescent="0.25">
      <c r="B553" s="1">
        <v>563</v>
      </c>
      <c r="C553" s="5" t="s">
        <v>626</v>
      </c>
      <c r="D553" s="15" t="s">
        <v>5</v>
      </c>
      <c r="E553" s="40">
        <v>290.06</v>
      </c>
      <c r="F553" s="6">
        <v>300</v>
      </c>
      <c r="G553" s="7" t="s">
        <v>1342</v>
      </c>
      <c r="H553" s="8" t="s">
        <v>80</v>
      </c>
      <c r="I553" s="5" t="s">
        <v>19</v>
      </c>
      <c r="J553" s="10" t="s">
        <v>942</v>
      </c>
      <c r="K553" s="11" t="s">
        <v>3</v>
      </c>
      <c r="L553" s="5" t="s">
        <v>1358</v>
      </c>
    </row>
    <row r="554" spans="2:12" ht="45" x14ac:dyDescent="0.25">
      <c r="B554" s="1">
        <v>564</v>
      </c>
      <c r="C554" s="5" t="s">
        <v>1281</v>
      </c>
      <c r="D554" s="5" t="s">
        <v>88</v>
      </c>
      <c r="E554" s="40">
        <v>49</v>
      </c>
      <c r="F554" s="6">
        <v>60</v>
      </c>
      <c r="G554" s="7" t="s">
        <v>1342</v>
      </c>
      <c r="H554" s="8" t="s">
        <v>80</v>
      </c>
      <c r="I554" s="5" t="s">
        <v>19</v>
      </c>
      <c r="J554" s="10" t="s">
        <v>927</v>
      </c>
      <c r="K554" s="11" t="s">
        <v>3</v>
      </c>
      <c r="L554" s="5" t="s">
        <v>1359</v>
      </c>
    </row>
    <row r="555" spans="2:12" ht="45" x14ac:dyDescent="0.25">
      <c r="B555" s="5">
        <v>565</v>
      </c>
      <c r="C555" s="5" t="s">
        <v>1282</v>
      </c>
      <c r="D555" s="5" t="s">
        <v>88</v>
      </c>
      <c r="E555" s="40" t="s">
        <v>1202</v>
      </c>
      <c r="F555" s="6">
        <v>60</v>
      </c>
      <c r="G555" s="7" t="s">
        <v>1342</v>
      </c>
      <c r="H555" s="8" t="s">
        <v>80</v>
      </c>
      <c r="I555" s="5" t="s">
        <v>19</v>
      </c>
      <c r="J555" s="10" t="s">
        <v>927</v>
      </c>
      <c r="K555" s="11" t="s">
        <v>3</v>
      </c>
      <c r="L555" s="5" t="s">
        <v>1360</v>
      </c>
    </row>
    <row r="556" spans="2:12" ht="45" x14ac:dyDescent="0.25">
      <c r="B556" s="5">
        <v>566</v>
      </c>
      <c r="C556" s="5" t="s">
        <v>648</v>
      </c>
      <c r="D556" s="5" t="s">
        <v>5</v>
      </c>
      <c r="E556" s="40" t="s">
        <v>1495</v>
      </c>
      <c r="F556" s="6">
        <v>180.08</v>
      </c>
      <c r="G556" s="7" t="s">
        <v>1342</v>
      </c>
      <c r="H556" s="8" t="s">
        <v>80</v>
      </c>
      <c r="I556" s="5" t="s">
        <v>19</v>
      </c>
      <c r="J556" s="10" t="s">
        <v>942</v>
      </c>
      <c r="K556" s="11" t="s">
        <v>3</v>
      </c>
      <c r="L556" s="5" t="s">
        <v>1361</v>
      </c>
    </row>
    <row r="557" spans="2:12" s="5" customFormat="1" ht="45" x14ac:dyDescent="0.25">
      <c r="B557" s="1">
        <v>567</v>
      </c>
      <c r="C557" s="5" t="s">
        <v>1283</v>
      </c>
      <c r="D557" s="5" t="s">
        <v>5</v>
      </c>
      <c r="E557" s="40" t="s">
        <v>1536</v>
      </c>
      <c r="F557" s="6">
        <v>1600</v>
      </c>
      <c r="G557" s="7" t="s">
        <v>1342</v>
      </c>
      <c r="H557" s="8" t="s">
        <v>80</v>
      </c>
      <c r="I557" s="5" t="s">
        <v>19</v>
      </c>
      <c r="J557" s="10" t="s">
        <v>942</v>
      </c>
      <c r="K557" s="11" t="s">
        <v>3</v>
      </c>
      <c r="L557" s="5" t="s">
        <v>1362</v>
      </c>
    </row>
    <row r="558" spans="2:12" ht="45" x14ac:dyDescent="0.25">
      <c r="B558" s="1">
        <v>568</v>
      </c>
      <c r="C558" s="5" t="s">
        <v>664</v>
      </c>
      <c r="D558" s="5" t="s">
        <v>82</v>
      </c>
      <c r="E558" s="40" t="s">
        <v>1511</v>
      </c>
      <c r="F558" s="6">
        <v>1825</v>
      </c>
      <c r="G558" s="7" t="s">
        <v>1342</v>
      </c>
      <c r="H558" s="8" t="s">
        <v>80</v>
      </c>
      <c r="I558" s="5" t="s">
        <v>19</v>
      </c>
      <c r="J558" s="10" t="s">
        <v>944</v>
      </c>
      <c r="K558" s="11" t="s">
        <v>3</v>
      </c>
      <c r="L558" s="5" t="s">
        <v>1363</v>
      </c>
    </row>
    <row r="559" spans="2:12" ht="45" x14ac:dyDescent="0.25">
      <c r="B559" s="5">
        <v>569</v>
      </c>
      <c r="C559" s="5" t="s">
        <v>562</v>
      </c>
      <c r="D559" s="5" t="s">
        <v>563</v>
      </c>
      <c r="E559" s="40" t="s">
        <v>1502</v>
      </c>
      <c r="F559" s="6">
        <v>1735</v>
      </c>
      <c r="G559" s="7" t="s">
        <v>1342</v>
      </c>
      <c r="H559" s="8" t="s">
        <v>80</v>
      </c>
      <c r="I559" s="5" t="s">
        <v>19</v>
      </c>
      <c r="J559" s="10" t="s">
        <v>943</v>
      </c>
      <c r="K559" s="11" t="s">
        <v>3</v>
      </c>
      <c r="L559" s="5" t="s">
        <v>1364</v>
      </c>
    </row>
    <row r="560" spans="2:12" ht="45" x14ac:dyDescent="0.25">
      <c r="B560" s="5">
        <v>570</v>
      </c>
      <c r="C560" s="5" t="s">
        <v>1284</v>
      </c>
      <c r="D560" s="5" t="s">
        <v>82</v>
      </c>
      <c r="E560" s="40" t="s">
        <v>1467</v>
      </c>
      <c r="F560" s="6">
        <v>625</v>
      </c>
      <c r="G560" s="7" t="s">
        <v>1342</v>
      </c>
      <c r="H560" s="8" t="s">
        <v>80</v>
      </c>
      <c r="I560" s="5" t="s">
        <v>19</v>
      </c>
      <c r="J560" s="10" t="s">
        <v>944</v>
      </c>
      <c r="K560" s="11" t="s">
        <v>3</v>
      </c>
      <c r="L560" s="5" t="s">
        <v>1365</v>
      </c>
    </row>
    <row r="561" spans="2:12" ht="45" x14ac:dyDescent="0.25">
      <c r="B561" s="1">
        <v>571</v>
      </c>
      <c r="C561" s="5" t="s">
        <v>1285</v>
      </c>
      <c r="D561" s="5" t="s">
        <v>1286</v>
      </c>
      <c r="E561" s="40" t="s">
        <v>528</v>
      </c>
      <c r="F561" s="6">
        <v>1500</v>
      </c>
      <c r="G561" s="7" t="s">
        <v>1342</v>
      </c>
      <c r="H561" s="8" t="s">
        <v>80</v>
      </c>
      <c r="I561" s="5" t="s">
        <v>19</v>
      </c>
      <c r="J561" s="10" t="s">
        <v>929</v>
      </c>
      <c r="K561" s="11" t="s">
        <v>3</v>
      </c>
      <c r="L561" s="68" t="s">
        <v>1366</v>
      </c>
    </row>
    <row r="562" spans="2:12" ht="45" x14ac:dyDescent="0.25">
      <c r="B562" s="1">
        <v>572</v>
      </c>
      <c r="C562" s="5" t="s">
        <v>646</v>
      </c>
      <c r="D562" s="5" t="s">
        <v>103</v>
      </c>
      <c r="E562" s="40" t="s">
        <v>1483</v>
      </c>
      <c r="F562" s="6">
        <v>5005</v>
      </c>
      <c r="G562" s="7" t="s">
        <v>1342</v>
      </c>
      <c r="H562" s="8" t="s">
        <v>80</v>
      </c>
      <c r="I562" s="5" t="s">
        <v>19</v>
      </c>
      <c r="J562" s="10" t="s">
        <v>946</v>
      </c>
      <c r="K562" s="11" t="s">
        <v>3</v>
      </c>
      <c r="L562" s="68" t="s">
        <v>1367</v>
      </c>
    </row>
    <row r="563" spans="2:12" ht="45" x14ac:dyDescent="0.25">
      <c r="B563" s="5">
        <v>573</v>
      </c>
      <c r="C563" s="5" t="s">
        <v>102</v>
      </c>
      <c r="D563" s="5" t="s">
        <v>103</v>
      </c>
      <c r="E563" s="40" t="s">
        <v>1482</v>
      </c>
      <c r="F563" s="6">
        <v>6240</v>
      </c>
      <c r="G563" s="7" t="s">
        <v>1342</v>
      </c>
      <c r="H563" s="8" t="s">
        <v>80</v>
      </c>
      <c r="I563" s="5" t="s">
        <v>19</v>
      </c>
      <c r="J563" s="10" t="s">
        <v>946</v>
      </c>
      <c r="K563" s="11" t="s">
        <v>3</v>
      </c>
      <c r="L563" s="68" t="s">
        <v>1368</v>
      </c>
    </row>
    <row r="564" spans="2:12" ht="45" x14ac:dyDescent="0.25">
      <c r="B564" s="5">
        <v>574</v>
      </c>
      <c r="C564" s="15" t="s">
        <v>1287</v>
      </c>
      <c r="D564" s="15" t="s">
        <v>5</v>
      </c>
      <c r="E564" s="40" t="s">
        <v>1526</v>
      </c>
      <c r="F564" s="69">
        <v>2837.5</v>
      </c>
      <c r="G564" s="70" t="s">
        <v>1369</v>
      </c>
      <c r="H564" s="71" t="s">
        <v>80</v>
      </c>
      <c r="I564" s="5" t="s">
        <v>19</v>
      </c>
      <c r="J564" s="72" t="s">
        <v>942</v>
      </c>
      <c r="K564" s="11" t="s">
        <v>3</v>
      </c>
      <c r="L564" s="68" t="s">
        <v>1370</v>
      </c>
    </row>
    <row r="565" spans="2:12" ht="101.25" x14ac:dyDescent="0.25">
      <c r="B565" s="1">
        <v>575</v>
      </c>
      <c r="C565" s="5" t="s">
        <v>1288</v>
      </c>
      <c r="D565" s="5" t="s">
        <v>1289</v>
      </c>
      <c r="E565" s="40" t="s">
        <v>1501</v>
      </c>
      <c r="F565" s="6">
        <v>43123.1</v>
      </c>
      <c r="G565" s="70" t="s">
        <v>1369</v>
      </c>
      <c r="H565" s="71" t="s">
        <v>80</v>
      </c>
      <c r="I565" s="5" t="s">
        <v>19</v>
      </c>
      <c r="J565" s="10" t="s">
        <v>1371</v>
      </c>
      <c r="K565" s="13" t="s">
        <v>588</v>
      </c>
      <c r="L565" s="68" t="s">
        <v>1372</v>
      </c>
    </row>
    <row r="566" spans="2:12" ht="22.5" x14ac:dyDescent="0.25">
      <c r="B566" s="1">
        <v>576</v>
      </c>
      <c r="C566" s="5" t="s">
        <v>506</v>
      </c>
      <c r="D566" s="5" t="s">
        <v>507</v>
      </c>
      <c r="E566" s="38">
        <f>964+159+42+60.5+143.5+708+15+1062.5+217.5+91+789.5</f>
        <v>4252.5</v>
      </c>
      <c r="F566" s="6">
        <v>5000</v>
      </c>
      <c r="G566" s="7" t="s">
        <v>1373</v>
      </c>
      <c r="H566" s="8" t="s">
        <v>80</v>
      </c>
      <c r="I566" s="15" t="s">
        <v>9</v>
      </c>
      <c r="J566" s="10" t="s">
        <v>1374</v>
      </c>
      <c r="K566" s="13" t="s">
        <v>1375</v>
      </c>
      <c r="L566" s="68"/>
    </row>
    <row r="567" spans="2:12" ht="101.25" x14ac:dyDescent="0.25">
      <c r="B567" s="5">
        <v>577</v>
      </c>
      <c r="C567" s="5" t="s">
        <v>624</v>
      </c>
      <c r="D567" s="5" t="s">
        <v>1290</v>
      </c>
      <c r="E567" s="40" t="s">
        <v>1512</v>
      </c>
      <c r="F567" s="6">
        <v>97881</v>
      </c>
      <c r="G567" s="7" t="s">
        <v>1373</v>
      </c>
      <c r="H567" s="8" t="s">
        <v>80</v>
      </c>
      <c r="I567" s="5" t="s">
        <v>19</v>
      </c>
      <c r="J567" s="10" t="s">
        <v>1371</v>
      </c>
      <c r="K567" s="13" t="s">
        <v>1376</v>
      </c>
      <c r="L567" s="68" t="s">
        <v>1377</v>
      </c>
    </row>
    <row r="568" spans="2:12" ht="101.25" x14ac:dyDescent="0.25">
      <c r="B568" s="5">
        <v>578</v>
      </c>
      <c r="C568" s="5" t="s">
        <v>1291</v>
      </c>
      <c r="D568" s="5" t="s">
        <v>1292</v>
      </c>
      <c r="E568" s="40" t="s">
        <v>1500</v>
      </c>
      <c r="F568" s="6">
        <v>6437.5</v>
      </c>
      <c r="G568" s="7" t="s">
        <v>1378</v>
      </c>
      <c r="H568" s="8" t="s">
        <v>80</v>
      </c>
      <c r="I568" s="5" t="s">
        <v>19</v>
      </c>
      <c r="J568" s="10" t="s">
        <v>1143</v>
      </c>
      <c r="K568" s="13" t="s">
        <v>588</v>
      </c>
      <c r="L568" s="68" t="s">
        <v>1379</v>
      </c>
    </row>
    <row r="569" spans="2:12" ht="45" x14ac:dyDescent="0.25">
      <c r="B569" s="1">
        <v>579</v>
      </c>
      <c r="C569" s="5" t="s">
        <v>161</v>
      </c>
      <c r="D569" s="5" t="s">
        <v>88</v>
      </c>
      <c r="E569" s="40" t="s">
        <v>1529</v>
      </c>
      <c r="F569" s="6">
        <v>2800</v>
      </c>
      <c r="G569" s="7" t="s">
        <v>1378</v>
      </c>
      <c r="H569" s="8" t="s">
        <v>80</v>
      </c>
      <c r="I569" s="5" t="s">
        <v>19</v>
      </c>
      <c r="J569" s="10" t="s">
        <v>927</v>
      </c>
      <c r="K569" s="11" t="s">
        <v>3</v>
      </c>
      <c r="L569" s="68" t="s">
        <v>1380</v>
      </c>
    </row>
    <row r="570" spans="2:12" ht="45" x14ac:dyDescent="0.25">
      <c r="B570" s="1">
        <v>580</v>
      </c>
      <c r="C570" s="5" t="s">
        <v>1293</v>
      </c>
      <c r="D570" s="5" t="s">
        <v>563</v>
      </c>
      <c r="E570" s="40" t="s">
        <v>535</v>
      </c>
      <c r="F570" s="6">
        <v>1400</v>
      </c>
      <c r="G570" s="7" t="s">
        <v>1378</v>
      </c>
      <c r="H570" s="8" t="s">
        <v>80</v>
      </c>
      <c r="I570" s="5" t="s">
        <v>19</v>
      </c>
      <c r="J570" s="10" t="s">
        <v>943</v>
      </c>
      <c r="K570" s="11" t="s">
        <v>3</v>
      </c>
      <c r="L570" s="68" t="s">
        <v>1381</v>
      </c>
    </row>
    <row r="571" spans="2:12" ht="45" x14ac:dyDescent="0.25">
      <c r="B571" s="5">
        <v>581</v>
      </c>
      <c r="C571" s="5" t="s">
        <v>131</v>
      </c>
      <c r="D571" s="5" t="s">
        <v>5</v>
      </c>
      <c r="E571" s="40">
        <f>52237.3+543.74+2700.8+2148.89+1077.6+1349.75+269.21+1615.98+3226.37+267.95+2411.47+5357.84+1205.64+541.62+1317.48+2756.04+1388.27+1112.9+2506.05</f>
        <v>84034.89999999998</v>
      </c>
      <c r="F571" s="6">
        <v>100000</v>
      </c>
      <c r="G571" s="7" t="s">
        <v>1378</v>
      </c>
      <c r="H571" s="8" t="s">
        <v>80</v>
      </c>
      <c r="I571" s="5" t="s">
        <v>19</v>
      </c>
      <c r="J571" s="10" t="s">
        <v>942</v>
      </c>
      <c r="K571" s="11" t="s">
        <v>3</v>
      </c>
      <c r="L571" s="68" t="s">
        <v>1382</v>
      </c>
    </row>
    <row r="572" spans="2:12" ht="45.75" x14ac:dyDescent="0.25">
      <c r="B572" s="5">
        <v>582</v>
      </c>
      <c r="C572" s="5" t="s">
        <v>1294</v>
      </c>
      <c r="D572" s="5" t="s">
        <v>1295</v>
      </c>
      <c r="E572" s="40" t="s">
        <v>1513</v>
      </c>
      <c r="F572" s="6">
        <v>2780</v>
      </c>
      <c r="G572" s="7" t="s">
        <v>1378</v>
      </c>
      <c r="H572" s="8" t="s">
        <v>80</v>
      </c>
      <c r="I572" s="5" t="s">
        <v>19</v>
      </c>
      <c r="J572" s="10" t="s">
        <v>1383</v>
      </c>
      <c r="K572" s="11" t="s">
        <v>7</v>
      </c>
      <c r="L572" s="68" t="s">
        <v>1384</v>
      </c>
    </row>
    <row r="573" spans="2:12" ht="45" x14ac:dyDescent="0.25">
      <c r="B573" s="1">
        <v>583</v>
      </c>
      <c r="C573" s="5" t="s">
        <v>1296</v>
      </c>
      <c r="D573" s="5" t="s">
        <v>88</v>
      </c>
      <c r="E573" s="40">
        <v>50</v>
      </c>
      <c r="F573" s="6">
        <v>50</v>
      </c>
      <c r="G573" s="7" t="s">
        <v>1385</v>
      </c>
      <c r="H573" s="8" t="s">
        <v>80</v>
      </c>
      <c r="I573" s="5" t="s">
        <v>19</v>
      </c>
      <c r="J573" s="10" t="s">
        <v>927</v>
      </c>
      <c r="K573" s="11" t="s">
        <v>3</v>
      </c>
      <c r="L573" s="68" t="s">
        <v>1386</v>
      </c>
    </row>
    <row r="574" spans="2:12" ht="45" x14ac:dyDescent="0.25">
      <c r="B574" s="1">
        <v>584</v>
      </c>
      <c r="C574" s="5" t="s">
        <v>1275</v>
      </c>
      <c r="D574" s="5" t="s">
        <v>88</v>
      </c>
      <c r="E574" s="40" t="s">
        <v>1514</v>
      </c>
      <c r="F574" s="6">
        <v>400</v>
      </c>
      <c r="G574" s="7" t="s">
        <v>1385</v>
      </c>
      <c r="H574" s="8" t="s">
        <v>80</v>
      </c>
      <c r="I574" s="5" t="s">
        <v>19</v>
      </c>
      <c r="J574" s="10" t="s">
        <v>927</v>
      </c>
      <c r="K574" s="11" t="s">
        <v>3</v>
      </c>
      <c r="L574" s="68" t="s">
        <v>1387</v>
      </c>
    </row>
    <row r="575" spans="2:12" ht="45" x14ac:dyDescent="0.25">
      <c r="B575" s="1" t="s">
        <v>1297</v>
      </c>
      <c r="C575" s="5" t="s">
        <v>1298</v>
      </c>
      <c r="D575" s="5" t="s">
        <v>88</v>
      </c>
      <c r="E575" s="40" t="s">
        <v>1505</v>
      </c>
      <c r="F575" s="6">
        <v>100</v>
      </c>
      <c r="G575" s="7" t="s">
        <v>1385</v>
      </c>
      <c r="H575" s="8" t="s">
        <v>80</v>
      </c>
      <c r="I575" s="5" t="s">
        <v>19</v>
      </c>
      <c r="J575" s="10" t="s">
        <v>927</v>
      </c>
      <c r="K575" s="11" t="s">
        <v>3</v>
      </c>
      <c r="L575" s="68" t="s">
        <v>1388</v>
      </c>
    </row>
    <row r="576" spans="2:12" ht="45.75" x14ac:dyDescent="0.25">
      <c r="B576" s="5">
        <v>585</v>
      </c>
      <c r="C576" s="5" t="s">
        <v>652</v>
      </c>
      <c r="D576" s="5" t="s">
        <v>472</v>
      </c>
      <c r="E576" s="40">
        <v>30</v>
      </c>
      <c r="F576" s="6">
        <v>30</v>
      </c>
      <c r="G576" s="7" t="s">
        <v>1389</v>
      </c>
      <c r="H576" s="8" t="s">
        <v>80</v>
      </c>
      <c r="I576" s="5" t="s">
        <v>19</v>
      </c>
      <c r="J576" s="10" t="s">
        <v>1143</v>
      </c>
      <c r="K576" s="11" t="s">
        <v>7</v>
      </c>
      <c r="L576" s="68" t="s">
        <v>1390</v>
      </c>
    </row>
    <row r="577" spans="2:12" x14ac:dyDescent="0.25">
      <c r="B577" s="5">
        <v>586</v>
      </c>
      <c r="C577" s="73" t="s">
        <v>1299</v>
      </c>
      <c r="D577" s="5" t="s">
        <v>1300</v>
      </c>
      <c r="E577" s="38">
        <v>52800</v>
      </c>
      <c r="F577" s="5">
        <v>52800</v>
      </c>
      <c r="G577" s="7" t="s">
        <v>1389</v>
      </c>
      <c r="H577" s="8" t="s">
        <v>80</v>
      </c>
      <c r="I577" s="5" t="s">
        <v>11</v>
      </c>
      <c r="J577" s="10" t="s">
        <v>1371</v>
      </c>
      <c r="K577" s="11" t="s">
        <v>1391</v>
      </c>
      <c r="L577" s="68"/>
    </row>
    <row r="578" spans="2:12" ht="67.5" x14ac:dyDescent="0.25">
      <c r="B578" s="1">
        <v>587</v>
      </c>
      <c r="C578" s="5" t="s">
        <v>1301</v>
      </c>
      <c r="D578" s="5" t="s">
        <v>1302</v>
      </c>
      <c r="E578" s="38">
        <f>63771.81+70228.19</f>
        <v>134000</v>
      </c>
      <c r="F578" s="6">
        <v>134000</v>
      </c>
      <c r="G578" s="7" t="s">
        <v>1389</v>
      </c>
      <c r="H578" s="8" t="s">
        <v>80</v>
      </c>
      <c r="I578" s="5" t="s">
        <v>11</v>
      </c>
      <c r="J578" s="10" t="s">
        <v>1392</v>
      </c>
      <c r="K578" s="11" t="s">
        <v>1393</v>
      </c>
      <c r="L578" s="68"/>
    </row>
    <row r="579" spans="2:12" ht="45" x14ac:dyDescent="0.25">
      <c r="B579" s="1">
        <v>588</v>
      </c>
      <c r="C579" s="37" t="s">
        <v>647</v>
      </c>
      <c r="D579" s="5" t="s">
        <v>103</v>
      </c>
      <c r="E579" s="40" t="s">
        <v>1532</v>
      </c>
      <c r="F579" s="6">
        <v>11585.4</v>
      </c>
      <c r="G579" s="7" t="s">
        <v>1389</v>
      </c>
      <c r="H579" s="8" t="s">
        <v>80</v>
      </c>
      <c r="I579" s="5" t="s">
        <v>19</v>
      </c>
      <c r="J579" s="10" t="s">
        <v>946</v>
      </c>
      <c r="K579" s="11" t="s">
        <v>3</v>
      </c>
      <c r="L579" s="68" t="s">
        <v>1515</v>
      </c>
    </row>
    <row r="580" spans="2:12" ht="45" x14ac:dyDescent="0.25">
      <c r="B580" s="5">
        <v>589</v>
      </c>
      <c r="C580" s="37" t="s">
        <v>102</v>
      </c>
      <c r="D580" s="5" t="s">
        <v>103</v>
      </c>
      <c r="E580" s="40" t="s">
        <v>1517</v>
      </c>
      <c r="F580" s="6">
        <v>3003.5</v>
      </c>
      <c r="G580" s="7" t="s">
        <v>1389</v>
      </c>
      <c r="H580" s="8" t="s">
        <v>80</v>
      </c>
      <c r="I580" s="5" t="s">
        <v>19</v>
      </c>
      <c r="J580" s="10" t="s">
        <v>946</v>
      </c>
      <c r="K580" s="11" t="s">
        <v>3</v>
      </c>
      <c r="L580" s="68" t="s">
        <v>1516</v>
      </c>
    </row>
    <row r="581" spans="2:12" ht="25.5" x14ac:dyDescent="0.25">
      <c r="B581" s="5">
        <v>590</v>
      </c>
      <c r="C581" s="68" t="s">
        <v>1303</v>
      </c>
      <c r="D581" s="5" t="s">
        <v>1304</v>
      </c>
      <c r="E581" s="38">
        <v>18679</v>
      </c>
      <c r="F581" s="6">
        <v>28709</v>
      </c>
      <c r="G581" s="7" t="s">
        <v>1394</v>
      </c>
      <c r="H581" s="8" t="s">
        <v>80</v>
      </c>
      <c r="I581" s="5" t="s">
        <v>9</v>
      </c>
      <c r="J581" s="10" t="s">
        <v>1395</v>
      </c>
      <c r="K581" s="11" t="s">
        <v>1396</v>
      </c>
      <c r="L581" s="68"/>
    </row>
    <row r="582" spans="2:12" ht="45" x14ac:dyDescent="0.25">
      <c r="B582" s="1">
        <v>591</v>
      </c>
      <c r="C582" s="68" t="s">
        <v>1305</v>
      </c>
      <c r="D582" s="5" t="s">
        <v>5</v>
      </c>
      <c r="E582" s="40">
        <v>291.07</v>
      </c>
      <c r="F582" s="6">
        <v>300</v>
      </c>
      <c r="G582" s="7" t="s">
        <v>1394</v>
      </c>
      <c r="H582" s="8" t="s">
        <v>80</v>
      </c>
      <c r="I582" s="5" t="s">
        <v>19</v>
      </c>
      <c r="J582" s="10" t="s">
        <v>942</v>
      </c>
      <c r="K582" s="11" t="s">
        <v>3</v>
      </c>
      <c r="L582" s="68" t="s">
        <v>1397</v>
      </c>
    </row>
    <row r="583" spans="2:12" ht="45" x14ac:dyDescent="0.25">
      <c r="B583" s="1">
        <v>592</v>
      </c>
      <c r="C583" s="67" t="s">
        <v>1306</v>
      </c>
      <c r="D583" s="5" t="s">
        <v>88</v>
      </c>
      <c r="E583" s="40">
        <v>50</v>
      </c>
      <c r="F583" s="6">
        <v>50</v>
      </c>
      <c r="G583" s="7" t="s">
        <v>1394</v>
      </c>
      <c r="H583" s="8" t="s">
        <v>80</v>
      </c>
      <c r="I583" s="5" t="s">
        <v>19</v>
      </c>
      <c r="J583" s="10" t="s">
        <v>927</v>
      </c>
      <c r="K583" s="11" t="s">
        <v>3</v>
      </c>
      <c r="L583" s="68" t="s">
        <v>1398</v>
      </c>
    </row>
    <row r="584" spans="2:12" ht="45" x14ac:dyDescent="0.25">
      <c r="B584" s="5">
        <v>593</v>
      </c>
      <c r="C584" s="5" t="s">
        <v>1307</v>
      </c>
      <c r="D584" s="5" t="s">
        <v>88</v>
      </c>
      <c r="E584" s="40">
        <v>59.8</v>
      </c>
      <c r="F584" s="6">
        <v>60</v>
      </c>
      <c r="G584" s="7" t="s">
        <v>1394</v>
      </c>
      <c r="H584" s="8" t="s">
        <v>80</v>
      </c>
      <c r="I584" s="5" t="s">
        <v>19</v>
      </c>
      <c r="J584" s="10" t="s">
        <v>927</v>
      </c>
      <c r="K584" s="11" t="s">
        <v>3</v>
      </c>
      <c r="L584" s="68" t="s">
        <v>1873</v>
      </c>
    </row>
    <row r="585" spans="2:12" ht="45" x14ac:dyDescent="0.25">
      <c r="B585" s="5">
        <v>594</v>
      </c>
      <c r="C585" s="5" t="s">
        <v>1308</v>
      </c>
      <c r="D585" s="5" t="s">
        <v>88</v>
      </c>
      <c r="E585" s="40">
        <v>50</v>
      </c>
      <c r="F585" s="6">
        <v>50</v>
      </c>
      <c r="G585" s="7" t="s">
        <v>1394</v>
      </c>
      <c r="H585" s="8" t="s">
        <v>80</v>
      </c>
      <c r="I585" s="5" t="s">
        <v>19</v>
      </c>
      <c r="J585" s="10" t="s">
        <v>927</v>
      </c>
      <c r="K585" s="11" t="s">
        <v>3</v>
      </c>
      <c r="L585" s="68" t="s">
        <v>1537</v>
      </c>
    </row>
    <row r="586" spans="2:12" ht="45" x14ac:dyDescent="0.25">
      <c r="B586" s="1">
        <v>595</v>
      </c>
      <c r="C586" s="5" t="s">
        <v>1309</v>
      </c>
      <c r="D586" s="5" t="s">
        <v>5</v>
      </c>
      <c r="E586" s="40">
        <f>2700+539.87+4051.35+1074.67+269.87+1079.5+538.94+817.57+1071.76+1656.66+552.22+1948.73+555.8+556.4</f>
        <v>17413.34</v>
      </c>
      <c r="F586" s="6">
        <v>50000</v>
      </c>
      <c r="G586" s="7" t="s">
        <v>1399</v>
      </c>
      <c r="H586" s="8" t="s">
        <v>26</v>
      </c>
      <c r="I586" s="5" t="s">
        <v>19</v>
      </c>
      <c r="J586" s="10" t="s">
        <v>942</v>
      </c>
      <c r="K586" s="11" t="s">
        <v>3</v>
      </c>
      <c r="L586" s="68" t="s">
        <v>1874</v>
      </c>
    </row>
    <row r="587" spans="2:12" ht="101.25" x14ac:dyDescent="0.25">
      <c r="B587" s="1">
        <v>596</v>
      </c>
      <c r="C587" s="5" t="s">
        <v>1310</v>
      </c>
      <c r="D587" s="5" t="s">
        <v>1292</v>
      </c>
      <c r="E587" s="40" t="s">
        <v>1530</v>
      </c>
      <c r="F587" s="6">
        <v>1225</v>
      </c>
      <c r="G587" s="7" t="s">
        <v>1399</v>
      </c>
      <c r="H587" s="8" t="s">
        <v>80</v>
      </c>
      <c r="I587" s="5" t="s">
        <v>19</v>
      </c>
      <c r="J587" s="10" t="s">
        <v>1143</v>
      </c>
      <c r="K587" s="13" t="s">
        <v>588</v>
      </c>
      <c r="L587" s="68" t="s">
        <v>1400</v>
      </c>
    </row>
    <row r="588" spans="2:12" ht="27" customHeight="1" x14ac:dyDescent="0.25">
      <c r="B588" s="5">
        <v>597</v>
      </c>
      <c r="C588" s="5" t="s">
        <v>1311</v>
      </c>
      <c r="D588" s="5" t="s">
        <v>1312</v>
      </c>
      <c r="E588" s="42">
        <f>1600</f>
        <v>1600</v>
      </c>
      <c r="F588" s="6">
        <v>10499</v>
      </c>
      <c r="G588" s="7" t="s">
        <v>1401</v>
      </c>
      <c r="H588" s="8" t="s">
        <v>80</v>
      </c>
      <c r="I588" s="5" t="s">
        <v>11</v>
      </c>
      <c r="J588" s="10" t="s">
        <v>1371</v>
      </c>
      <c r="K588" s="11" t="s">
        <v>1402</v>
      </c>
      <c r="L588" s="68"/>
    </row>
    <row r="589" spans="2:12" ht="45" x14ac:dyDescent="0.25">
      <c r="B589" s="5">
        <v>598</v>
      </c>
      <c r="C589" s="5" t="s">
        <v>458</v>
      </c>
      <c r="D589" s="5" t="s">
        <v>88</v>
      </c>
      <c r="E589" s="40">
        <v>400</v>
      </c>
      <c r="F589" s="6">
        <v>500</v>
      </c>
      <c r="G589" s="7" t="s">
        <v>1403</v>
      </c>
      <c r="H589" s="8" t="s">
        <v>80</v>
      </c>
      <c r="I589" s="5" t="s">
        <v>19</v>
      </c>
      <c r="J589" s="10" t="s">
        <v>927</v>
      </c>
      <c r="K589" s="11" t="s">
        <v>3</v>
      </c>
      <c r="L589" s="68" t="s">
        <v>1531</v>
      </c>
    </row>
    <row r="590" spans="2:12" ht="45" x14ac:dyDescent="0.25">
      <c r="B590" s="1">
        <v>599</v>
      </c>
      <c r="C590" s="5" t="s">
        <v>1313</v>
      </c>
      <c r="D590" s="5" t="s">
        <v>82</v>
      </c>
      <c r="E590" s="40" t="s">
        <v>1865</v>
      </c>
      <c r="F590" s="6">
        <v>1370</v>
      </c>
      <c r="G590" s="7" t="s">
        <v>1403</v>
      </c>
      <c r="H590" s="8" t="s">
        <v>80</v>
      </c>
      <c r="I590" s="5" t="s">
        <v>19</v>
      </c>
      <c r="J590" s="10" t="s">
        <v>944</v>
      </c>
      <c r="K590" s="11" t="s">
        <v>3</v>
      </c>
      <c r="L590" s="68" t="s">
        <v>1862</v>
      </c>
    </row>
    <row r="591" spans="2:12" ht="45" x14ac:dyDescent="0.25">
      <c r="B591" s="1">
        <v>600</v>
      </c>
      <c r="C591" s="5" t="s">
        <v>1314</v>
      </c>
      <c r="D591" s="5" t="s">
        <v>5</v>
      </c>
      <c r="E591" s="40" t="s">
        <v>1866</v>
      </c>
      <c r="F591" s="6">
        <v>2778.3</v>
      </c>
      <c r="G591" s="7" t="s">
        <v>1403</v>
      </c>
      <c r="H591" s="8" t="s">
        <v>80</v>
      </c>
      <c r="I591" s="5" t="s">
        <v>19</v>
      </c>
      <c r="J591" s="10" t="s">
        <v>942</v>
      </c>
      <c r="K591" s="11" t="s">
        <v>3</v>
      </c>
      <c r="L591" s="68" t="s">
        <v>1863</v>
      </c>
    </row>
    <row r="592" spans="2:12" ht="45" x14ac:dyDescent="0.25">
      <c r="B592" s="5">
        <v>601</v>
      </c>
      <c r="C592" s="5" t="s">
        <v>1039</v>
      </c>
      <c r="D592" s="5" t="s">
        <v>5</v>
      </c>
      <c r="E592" s="40" t="s">
        <v>1880</v>
      </c>
      <c r="F592" s="6">
        <v>11245.5</v>
      </c>
      <c r="G592" s="7" t="s">
        <v>1403</v>
      </c>
      <c r="H592" s="8" t="s">
        <v>80</v>
      </c>
      <c r="I592" s="5" t="s">
        <v>19</v>
      </c>
      <c r="J592" s="10" t="s">
        <v>942</v>
      </c>
      <c r="K592" s="11" t="s">
        <v>3</v>
      </c>
      <c r="L592" s="68" t="s">
        <v>1864</v>
      </c>
    </row>
    <row r="593" spans="2:12" ht="45" x14ac:dyDescent="0.25">
      <c r="B593" s="5">
        <v>602</v>
      </c>
      <c r="C593" s="5" t="s">
        <v>166</v>
      </c>
      <c r="D593" s="5" t="s">
        <v>563</v>
      </c>
      <c r="E593" s="40" t="s">
        <v>1861</v>
      </c>
      <c r="F593" s="6">
        <v>2250</v>
      </c>
      <c r="G593" s="7" t="s">
        <v>1403</v>
      </c>
      <c r="H593" s="8" t="s">
        <v>80</v>
      </c>
      <c r="I593" s="5" t="s">
        <v>19</v>
      </c>
      <c r="J593" s="10" t="s">
        <v>943</v>
      </c>
      <c r="K593" s="11" t="s">
        <v>3</v>
      </c>
      <c r="L593" s="68" t="s">
        <v>1860</v>
      </c>
    </row>
    <row r="594" spans="2:12" ht="45" x14ac:dyDescent="0.25">
      <c r="B594" s="1">
        <v>603</v>
      </c>
      <c r="C594" s="5" t="s">
        <v>1315</v>
      </c>
      <c r="D594" s="5" t="s">
        <v>5</v>
      </c>
      <c r="E594" s="40">
        <v>363</v>
      </c>
      <c r="F594" s="6">
        <v>363</v>
      </c>
      <c r="G594" s="7" t="s">
        <v>1403</v>
      </c>
      <c r="H594" s="8" t="s">
        <v>80</v>
      </c>
      <c r="I594" s="5" t="s">
        <v>19</v>
      </c>
      <c r="J594" s="10" t="s">
        <v>942</v>
      </c>
      <c r="K594" s="11" t="s">
        <v>3</v>
      </c>
      <c r="L594" s="68" t="s">
        <v>1876</v>
      </c>
    </row>
    <row r="595" spans="2:12" ht="45" x14ac:dyDescent="0.25">
      <c r="B595" s="1">
        <v>604</v>
      </c>
      <c r="C595" s="5" t="s">
        <v>1268</v>
      </c>
      <c r="D595" s="5" t="s">
        <v>88</v>
      </c>
      <c r="E595" s="40" t="s">
        <v>524</v>
      </c>
      <c r="F595" s="6">
        <v>200</v>
      </c>
      <c r="G595" s="7" t="s">
        <v>1403</v>
      </c>
      <c r="H595" s="8" t="s">
        <v>80</v>
      </c>
      <c r="I595" s="5" t="s">
        <v>19</v>
      </c>
      <c r="J595" s="10" t="s">
        <v>927</v>
      </c>
      <c r="K595" s="11" t="s">
        <v>3</v>
      </c>
      <c r="L595" s="68" t="s">
        <v>1533</v>
      </c>
    </row>
    <row r="596" spans="2:12" ht="45" x14ac:dyDescent="0.25">
      <c r="B596" s="5">
        <v>605</v>
      </c>
      <c r="C596" s="5" t="s">
        <v>1315</v>
      </c>
      <c r="D596" s="5" t="s">
        <v>88</v>
      </c>
      <c r="E596" s="40" t="s">
        <v>1869</v>
      </c>
      <c r="F596" s="6">
        <v>440</v>
      </c>
      <c r="G596" s="7" t="s">
        <v>1403</v>
      </c>
      <c r="H596" s="8" t="s">
        <v>80</v>
      </c>
      <c r="I596" s="5" t="s">
        <v>19</v>
      </c>
      <c r="J596" s="10" t="s">
        <v>927</v>
      </c>
      <c r="K596" s="11" t="s">
        <v>3</v>
      </c>
      <c r="L596" s="68" t="s">
        <v>1867</v>
      </c>
    </row>
    <row r="597" spans="2:12" ht="45" x14ac:dyDescent="0.25">
      <c r="B597" s="5">
        <v>606</v>
      </c>
      <c r="C597" s="5" t="s">
        <v>1316</v>
      </c>
      <c r="D597" s="5" t="s">
        <v>5</v>
      </c>
      <c r="E597" s="40" t="s">
        <v>1918</v>
      </c>
      <c r="F597" s="6">
        <v>61855.199999999997</v>
      </c>
      <c r="G597" s="7" t="s">
        <v>1403</v>
      </c>
      <c r="H597" s="8" t="s">
        <v>80</v>
      </c>
      <c r="I597" s="5" t="s">
        <v>19</v>
      </c>
      <c r="J597" s="10" t="s">
        <v>942</v>
      </c>
      <c r="K597" s="11" t="s">
        <v>3</v>
      </c>
      <c r="L597" s="68" t="s">
        <v>1868</v>
      </c>
    </row>
    <row r="598" spans="2:12" ht="45" x14ac:dyDescent="0.25">
      <c r="B598" s="1">
        <v>607</v>
      </c>
      <c r="C598" s="5" t="s">
        <v>166</v>
      </c>
      <c r="D598" s="5" t="s">
        <v>563</v>
      </c>
      <c r="E598" s="40">
        <v>700</v>
      </c>
      <c r="F598" s="6">
        <v>700</v>
      </c>
      <c r="G598" s="7" t="s">
        <v>1403</v>
      </c>
      <c r="H598" s="8" t="s">
        <v>80</v>
      </c>
      <c r="I598" s="5" t="s">
        <v>19</v>
      </c>
      <c r="J598" s="10" t="s">
        <v>943</v>
      </c>
      <c r="K598" s="11" t="s">
        <v>3</v>
      </c>
      <c r="L598" s="68" t="s">
        <v>1518</v>
      </c>
    </row>
    <row r="599" spans="2:12" ht="45" x14ac:dyDescent="0.25">
      <c r="B599" s="1">
        <v>608</v>
      </c>
      <c r="C599" s="5" t="s">
        <v>454</v>
      </c>
      <c r="D599" s="5" t="s">
        <v>563</v>
      </c>
      <c r="E599" s="40" t="s">
        <v>781</v>
      </c>
      <c r="F599" s="6">
        <v>2300</v>
      </c>
      <c r="G599" s="8" t="s">
        <v>1631</v>
      </c>
      <c r="H599" s="26" t="s">
        <v>80</v>
      </c>
      <c r="I599" s="5" t="s">
        <v>19</v>
      </c>
      <c r="J599" s="10" t="s">
        <v>943</v>
      </c>
      <c r="K599" s="11" t="s">
        <v>3</v>
      </c>
      <c r="L599" s="68" t="s">
        <v>1632</v>
      </c>
    </row>
    <row r="600" spans="2:12" ht="45" x14ac:dyDescent="0.25">
      <c r="B600" s="5">
        <v>609</v>
      </c>
      <c r="C600" s="5" t="s">
        <v>166</v>
      </c>
      <c r="D600" s="5" t="s">
        <v>563</v>
      </c>
      <c r="E600" s="40">
        <v>250</v>
      </c>
      <c r="F600" s="6">
        <v>250</v>
      </c>
      <c r="G600" s="7" t="s">
        <v>1631</v>
      </c>
      <c r="H600" s="8" t="s">
        <v>80</v>
      </c>
      <c r="I600" s="5" t="s">
        <v>19</v>
      </c>
      <c r="J600" s="10" t="s">
        <v>943</v>
      </c>
      <c r="K600" s="11" t="s">
        <v>3</v>
      </c>
      <c r="L600" s="68" t="s">
        <v>1633</v>
      </c>
    </row>
    <row r="601" spans="2:12" ht="45" x14ac:dyDescent="0.25">
      <c r="B601" s="5">
        <v>610</v>
      </c>
      <c r="C601" s="5" t="s">
        <v>259</v>
      </c>
      <c r="D601" s="5" t="s">
        <v>82</v>
      </c>
      <c r="E601" s="40">
        <v>212.5</v>
      </c>
      <c r="F601" s="6">
        <v>212.5</v>
      </c>
      <c r="G601" s="7" t="s">
        <v>1631</v>
      </c>
      <c r="H601" s="8" t="s">
        <v>80</v>
      </c>
      <c r="I601" s="5" t="s">
        <v>19</v>
      </c>
      <c r="J601" s="10" t="s">
        <v>944</v>
      </c>
      <c r="K601" s="11" t="s">
        <v>3</v>
      </c>
      <c r="L601" s="68" t="s">
        <v>1634</v>
      </c>
    </row>
    <row r="602" spans="2:12" ht="45" x14ac:dyDescent="0.25">
      <c r="B602" s="1">
        <v>611</v>
      </c>
      <c r="C602" s="5" t="s">
        <v>1538</v>
      </c>
      <c r="D602" s="5" t="s">
        <v>563</v>
      </c>
      <c r="E602" s="40" t="s">
        <v>1871</v>
      </c>
      <c r="F602" s="6">
        <v>1530</v>
      </c>
      <c r="G602" s="7" t="s">
        <v>1635</v>
      </c>
      <c r="H602" s="8" t="s">
        <v>80</v>
      </c>
      <c r="I602" s="5" t="s">
        <v>19</v>
      </c>
      <c r="J602" s="10" t="s">
        <v>943</v>
      </c>
      <c r="K602" s="11" t="s">
        <v>3</v>
      </c>
      <c r="L602" s="68" t="s">
        <v>1636</v>
      </c>
    </row>
    <row r="603" spans="2:12" ht="45" x14ac:dyDescent="0.25">
      <c r="B603" s="5">
        <v>613</v>
      </c>
      <c r="C603" s="5" t="s">
        <v>398</v>
      </c>
      <c r="D603" s="5" t="s">
        <v>1539</v>
      </c>
      <c r="E603" s="40">
        <v>265</v>
      </c>
      <c r="F603" s="6">
        <v>265</v>
      </c>
      <c r="G603" s="7" t="s">
        <v>1635</v>
      </c>
      <c r="H603" s="8" t="s">
        <v>80</v>
      </c>
      <c r="I603" s="5" t="s">
        <v>19</v>
      </c>
      <c r="J603" s="10" t="s">
        <v>1383</v>
      </c>
      <c r="K603" s="13" t="s">
        <v>953</v>
      </c>
      <c r="L603" s="68" t="s">
        <v>1637</v>
      </c>
    </row>
    <row r="604" spans="2:12" ht="45" x14ac:dyDescent="0.25">
      <c r="B604" s="5">
        <v>614</v>
      </c>
      <c r="C604" s="5" t="s">
        <v>398</v>
      </c>
      <c r="D604" s="5" t="s">
        <v>1540</v>
      </c>
      <c r="E604" s="40" t="s">
        <v>1901</v>
      </c>
      <c r="F604" s="6">
        <v>990</v>
      </c>
      <c r="G604" s="7" t="s">
        <v>1635</v>
      </c>
      <c r="H604" s="8" t="s">
        <v>80</v>
      </c>
      <c r="I604" s="5" t="s">
        <v>19</v>
      </c>
      <c r="J604" s="10" t="s">
        <v>1638</v>
      </c>
      <c r="K604" s="13" t="s">
        <v>953</v>
      </c>
      <c r="L604" s="68" t="s">
        <v>1639</v>
      </c>
    </row>
    <row r="605" spans="2:12" ht="101.25" x14ac:dyDescent="0.25">
      <c r="B605" s="1">
        <v>615</v>
      </c>
      <c r="C605" s="5" t="s">
        <v>1541</v>
      </c>
      <c r="D605" s="5" t="s">
        <v>1542</v>
      </c>
      <c r="E605" s="40">
        <f>8900+17800</f>
        <v>26700</v>
      </c>
      <c r="F605" s="6">
        <v>26700</v>
      </c>
      <c r="G605" s="7" t="s">
        <v>1635</v>
      </c>
      <c r="H605" s="8" t="s">
        <v>80</v>
      </c>
      <c r="I605" s="5" t="s">
        <v>19</v>
      </c>
      <c r="J605" s="10" t="s">
        <v>1141</v>
      </c>
      <c r="K605" s="13" t="s">
        <v>281</v>
      </c>
      <c r="L605" s="68" t="s">
        <v>1640</v>
      </c>
    </row>
    <row r="606" spans="2:12" ht="45" x14ac:dyDescent="0.25">
      <c r="B606" s="1">
        <v>616</v>
      </c>
      <c r="C606" s="5" t="s">
        <v>646</v>
      </c>
      <c r="D606" s="5" t="s">
        <v>103</v>
      </c>
      <c r="E606" s="40" t="s">
        <v>1879</v>
      </c>
      <c r="F606" s="6">
        <v>1390</v>
      </c>
      <c r="G606" s="7" t="s">
        <v>1635</v>
      </c>
      <c r="H606" s="8" t="s">
        <v>80</v>
      </c>
      <c r="I606" s="5" t="s">
        <v>19</v>
      </c>
      <c r="J606" s="10" t="s">
        <v>946</v>
      </c>
      <c r="K606" s="11" t="s">
        <v>3</v>
      </c>
      <c r="L606" s="68" t="s">
        <v>1641</v>
      </c>
    </row>
    <row r="607" spans="2:12" ht="45" x14ac:dyDescent="0.25">
      <c r="B607" s="5">
        <v>617</v>
      </c>
      <c r="C607" s="5" t="s">
        <v>1543</v>
      </c>
      <c r="D607" s="5" t="s">
        <v>563</v>
      </c>
      <c r="E607" s="40" t="s">
        <v>1878</v>
      </c>
      <c r="F607" s="6">
        <v>2523.75</v>
      </c>
      <c r="G607" s="7" t="s">
        <v>1642</v>
      </c>
      <c r="H607" s="8" t="s">
        <v>80</v>
      </c>
      <c r="I607" s="5" t="s">
        <v>19</v>
      </c>
      <c r="J607" s="10" t="s">
        <v>943</v>
      </c>
      <c r="K607" s="11" t="s">
        <v>3</v>
      </c>
      <c r="L607" s="68" t="s">
        <v>1643</v>
      </c>
    </row>
    <row r="608" spans="2:12" ht="45" x14ac:dyDescent="0.25">
      <c r="B608" s="5">
        <v>618</v>
      </c>
      <c r="C608" s="5" t="s">
        <v>164</v>
      </c>
      <c r="D608" s="5" t="s">
        <v>88</v>
      </c>
      <c r="E608" s="40" t="s">
        <v>1875</v>
      </c>
      <c r="F608" s="6">
        <v>2050</v>
      </c>
      <c r="G608" s="7" t="s">
        <v>1642</v>
      </c>
      <c r="H608" s="8" t="s">
        <v>80</v>
      </c>
      <c r="I608" s="5" t="s">
        <v>19</v>
      </c>
      <c r="J608" s="10" t="s">
        <v>927</v>
      </c>
      <c r="K608" s="11" t="s">
        <v>3</v>
      </c>
      <c r="L608" s="68" t="s">
        <v>1644</v>
      </c>
    </row>
    <row r="609" spans="2:12" ht="45" x14ac:dyDescent="0.25">
      <c r="B609" s="1">
        <v>619</v>
      </c>
      <c r="C609" s="5" t="s">
        <v>1544</v>
      </c>
      <c r="D609" s="5" t="s">
        <v>563</v>
      </c>
      <c r="E609" s="40" t="s">
        <v>1857</v>
      </c>
      <c r="F609" s="6">
        <v>200</v>
      </c>
      <c r="G609" s="7" t="s">
        <v>1642</v>
      </c>
      <c r="H609" s="8" t="s">
        <v>80</v>
      </c>
      <c r="I609" s="5" t="s">
        <v>19</v>
      </c>
      <c r="J609" s="10" t="s">
        <v>943</v>
      </c>
      <c r="K609" s="11" t="s">
        <v>3</v>
      </c>
      <c r="L609" s="68" t="s">
        <v>1645</v>
      </c>
    </row>
    <row r="610" spans="2:12" ht="45" x14ac:dyDescent="0.25">
      <c r="B610" s="1">
        <v>620</v>
      </c>
      <c r="C610" s="5" t="s">
        <v>1544</v>
      </c>
      <c r="D610" s="5" t="s">
        <v>103</v>
      </c>
      <c r="E610" s="40">
        <v>650</v>
      </c>
      <c r="F610" s="6">
        <v>1300</v>
      </c>
      <c r="G610" s="7" t="s">
        <v>1642</v>
      </c>
      <c r="H610" s="8" t="s">
        <v>80</v>
      </c>
      <c r="I610" s="5" t="s">
        <v>19</v>
      </c>
      <c r="J610" s="10" t="s">
        <v>946</v>
      </c>
      <c r="K610" s="11" t="s">
        <v>3</v>
      </c>
      <c r="L610" s="68" t="s">
        <v>1646</v>
      </c>
    </row>
    <row r="611" spans="2:12" ht="45" x14ac:dyDescent="0.25">
      <c r="B611" s="5">
        <v>621</v>
      </c>
      <c r="C611" s="5" t="s">
        <v>637</v>
      </c>
      <c r="D611" s="5" t="s">
        <v>88</v>
      </c>
      <c r="E611" s="40">
        <v>400</v>
      </c>
      <c r="F611" s="6">
        <v>400</v>
      </c>
      <c r="G611" s="7" t="s">
        <v>1642</v>
      </c>
      <c r="H611" s="8" t="s">
        <v>80</v>
      </c>
      <c r="I611" s="5" t="s">
        <v>19</v>
      </c>
      <c r="J611" s="10" t="s">
        <v>927</v>
      </c>
      <c r="K611" s="11" t="s">
        <v>3</v>
      </c>
      <c r="L611" s="68" t="s">
        <v>1647</v>
      </c>
    </row>
    <row r="612" spans="2:12" ht="45" x14ac:dyDescent="0.25">
      <c r="B612" s="5">
        <v>622</v>
      </c>
      <c r="C612" s="5" t="s">
        <v>1545</v>
      </c>
      <c r="D612" s="5" t="s">
        <v>84</v>
      </c>
      <c r="E612" s="40" t="s">
        <v>1872</v>
      </c>
      <c r="F612" s="6">
        <v>1900</v>
      </c>
      <c r="G612" s="7" t="s">
        <v>1642</v>
      </c>
      <c r="H612" s="8" t="s">
        <v>80</v>
      </c>
      <c r="I612" s="5" t="s">
        <v>19</v>
      </c>
      <c r="J612" s="10" t="s">
        <v>942</v>
      </c>
      <c r="K612" s="11" t="s">
        <v>3</v>
      </c>
      <c r="L612" s="68" t="s">
        <v>1648</v>
      </c>
    </row>
    <row r="613" spans="2:12" ht="45" x14ac:dyDescent="0.25">
      <c r="B613" s="1">
        <v>623</v>
      </c>
      <c r="C613" s="5" t="s">
        <v>562</v>
      </c>
      <c r="D613" s="5" t="s">
        <v>563</v>
      </c>
      <c r="E613" s="40" t="s">
        <v>1858</v>
      </c>
      <c r="F613" s="6" t="s">
        <v>1859</v>
      </c>
      <c r="G613" s="7" t="s">
        <v>1642</v>
      </c>
      <c r="H613" s="8" t="s">
        <v>80</v>
      </c>
      <c r="I613" s="5" t="s">
        <v>19</v>
      </c>
      <c r="J613" s="10" t="s">
        <v>943</v>
      </c>
      <c r="K613" s="11" t="s">
        <v>3</v>
      </c>
      <c r="L613" s="68" t="s">
        <v>1649</v>
      </c>
    </row>
    <row r="614" spans="2:12" ht="45" x14ac:dyDescent="0.25">
      <c r="B614" s="1">
        <v>624</v>
      </c>
      <c r="C614" s="5" t="s">
        <v>454</v>
      </c>
      <c r="D614" s="5" t="s">
        <v>563</v>
      </c>
      <c r="E614" s="40">
        <v>750</v>
      </c>
      <c r="F614" s="6">
        <v>750</v>
      </c>
      <c r="G614" s="7" t="s">
        <v>1650</v>
      </c>
      <c r="H614" s="8" t="s">
        <v>80</v>
      </c>
      <c r="I614" s="5" t="s">
        <v>19</v>
      </c>
      <c r="J614" s="10" t="s">
        <v>943</v>
      </c>
      <c r="K614" s="11" t="s">
        <v>3</v>
      </c>
      <c r="L614" s="68" t="s">
        <v>1651</v>
      </c>
    </row>
    <row r="615" spans="2:12" ht="45" x14ac:dyDescent="0.25">
      <c r="B615" s="5">
        <v>625</v>
      </c>
      <c r="C615" s="5" t="s">
        <v>1546</v>
      </c>
      <c r="D615" s="5" t="s">
        <v>82</v>
      </c>
      <c r="E615" s="40" t="s">
        <v>1870</v>
      </c>
      <c r="F615" s="6">
        <v>375</v>
      </c>
      <c r="G615" s="7" t="s">
        <v>1650</v>
      </c>
      <c r="H615" s="8" t="s">
        <v>80</v>
      </c>
      <c r="I615" s="5" t="s">
        <v>19</v>
      </c>
      <c r="J615" s="10" t="s">
        <v>944</v>
      </c>
      <c r="K615" s="11" t="s">
        <v>3</v>
      </c>
      <c r="L615" s="68" t="s">
        <v>1652</v>
      </c>
    </row>
    <row r="616" spans="2:12" ht="45" x14ac:dyDescent="0.25">
      <c r="B616" s="5">
        <v>626</v>
      </c>
      <c r="C616" s="5" t="s">
        <v>1547</v>
      </c>
      <c r="D616" s="5" t="s">
        <v>88</v>
      </c>
      <c r="E616" s="40">
        <v>59.4</v>
      </c>
      <c r="F616" s="6">
        <v>60</v>
      </c>
      <c r="G616" s="7" t="s">
        <v>1650</v>
      </c>
      <c r="H616" s="8" t="s">
        <v>80</v>
      </c>
      <c r="I616" s="5" t="s">
        <v>19</v>
      </c>
      <c r="J616" s="10" t="s">
        <v>927</v>
      </c>
      <c r="K616" s="11" t="s">
        <v>3</v>
      </c>
      <c r="L616" s="68" t="s">
        <v>1653</v>
      </c>
    </row>
    <row r="617" spans="2:12" ht="45" x14ac:dyDescent="0.25">
      <c r="B617" s="1">
        <v>627</v>
      </c>
      <c r="C617" s="5" t="s">
        <v>1548</v>
      </c>
      <c r="D617" s="5" t="s">
        <v>84</v>
      </c>
      <c r="E617" s="40">
        <v>300</v>
      </c>
      <c r="F617" s="6">
        <v>300</v>
      </c>
      <c r="G617" s="7" t="s">
        <v>1650</v>
      </c>
      <c r="H617" s="8" t="s">
        <v>80</v>
      </c>
      <c r="I617" s="5" t="s">
        <v>19</v>
      </c>
      <c r="J617" s="10" t="s">
        <v>942</v>
      </c>
      <c r="K617" s="11" t="s">
        <v>3</v>
      </c>
      <c r="L617" s="68" t="s">
        <v>1654</v>
      </c>
    </row>
    <row r="618" spans="2:12" ht="45" x14ac:dyDescent="0.25">
      <c r="B618" s="1">
        <v>628</v>
      </c>
      <c r="C618" s="5" t="s">
        <v>1549</v>
      </c>
      <c r="D618" s="5" t="s">
        <v>84</v>
      </c>
      <c r="E618" s="40" t="s">
        <v>1883</v>
      </c>
      <c r="F618" s="6">
        <v>279</v>
      </c>
      <c r="G618" s="7" t="s">
        <v>1650</v>
      </c>
      <c r="H618" s="8" t="s">
        <v>80</v>
      </c>
      <c r="I618" s="5" t="s">
        <v>19</v>
      </c>
      <c r="J618" s="10" t="s">
        <v>942</v>
      </c>
      <c r="K618" s="11" t="s">
        <v>3</v>
      </c>
      <c r="L618" s="68" t="s">
        <v>1655</v>
      </c>
    </row>
    <row r="619" spans="2:12" ht="45" x14ac:dyDescent="0.25">
      <c r="B619" s="5">
        <v>629</v>
      </c>
      <c r="C619" s="5" t="s">
        <v>102</v>
      </c>
      <c r="D619" s="5" t="s">
        <v>103</v>
      </c>
      <c r="E619" s="40" t="s">
        <v>1884</v>
      </c>
      <c r="F619" s="6">
        <v>7469.1</v>
      </c>
      <c r="G619" s="7" t="s">
        <v>1656</v>
      </c>
      <c r="H619" s="8" t="s">
        <v>80</v>
      </c>
      <c r="I619" s="5" t="s">
        <v>19</v>
      </c>
      <c r="J619" s="10" t="s">
        <v>946</v>
      </c>
      <c r="K619" s="11" t="s">
        <v>3</v>
      </c>
      <c r="L619" s="68" t="s">
        <v>1657</v>
      </c>
    </row>
    <row r="620" spans="2:12" ht="45" x14ac:dyDescent="0.25">
      <c r="B620" s="5">
        <v>630</v>
      </c>
      <c r="C620" s="5" t="s">
        <v>1550</v>
      </c>
      <c r="D620" s="5" t="s">
        <v>84</v>
      </c>
      <c r="E620" s="40" t="s">
        <v>1895</v>
      </c>
      <c r="F620" s="6">
        <v>2458.81</v>
      </c>
      <c r="G620" s="7" t="s">
        <v>1658</v>
      </c>
      <c r="H620" s="8" t="s">
        <v>80</v>
      </c>
      <c r="I620" s="5" t="s">
        <v>19</v>
      </c>
      <c r="J620" s="10" t="s">
        <v>942</v>
      </c>
      <c r="K620" s="11" t="s">
        <v>3</v>
      </c>
      <c r="L620" s="68" t="s">
        <v>1659</v>
      </c>
    </row>
    <row r="621" spans="2:12" ht="45" x14ac:dyDescent="0.25">
      <c r="B621" s="1">
        <v>631</v>
      </c>
      <c r="C621" s="5" t="s">
        <v>259</v>
      </c>
      <c r="D621" s="5" t="s">
        <v>82</v>
      </c>
      <c r="E621" s="40" t="s">
        <v>1881</v>
      </c>
      <c r="F621" s="6">
        <v>187.5</v>
      </c>
      <c r="G621" s="7" t="s">
        <v>1658</v>
      </c>
      <c r="H621" s="8" t="s">
        <v>80</v>
      </c>
      <c r="I621" s="5" t="s">
        <v>19</v>
      </c>
      <c r="J621" s="10" t="s">
        <v>944</v>
      </c>
      <c r="K621" s="11" t="s">
        <v>3</v>
      </c>
      <c r="L621" s="68" t="s">
        <v>1660</v>
      </c>
    </row>
    <row r="622" spans="2:12" ht="45" x14ac:dyDescent="0.25">
      <c r="B622" s="1">
        <v>632</v>
      </c>
      <c r="C622" s="5" t="s">
        <v>1051</v>
      </c>
      <c r="D622" s="5" t="s">
        <v>88</v>
      </c>
      <c r="E622" s="40" t="s">
        <v>1906</v>
      </c>
      <c r="F622" s="6">
        <v>360</v>
      </c>
      <c r="G622" s="7" t="s">
        <v>1658</v>
      </c>
      <c r="H622" s="8" t="s">
        <v>80</v>
      </c>
      <c r="I622" s="5" t="s">
        <v>19</v>
      </c>
      <c r="J622" s="10" t="s">
        <v>927</v>
      </c>
      <c r="K622" s="11" t="s">
        <v>3</v>
      </c>
      <c r="L622" s="68" t="s">
        <v>1661</v>
      </c>
    </row>
    <row r="623" spans="2:12" ht="45" x14ac:dyDescent="0.25">
      <c r="B623" s="5">
        <v>633</v>
      </c>
      <c r="C623" s="5" t="s">
        <v>1549</v>
      </c>
      <c r="D623" s="5" t="s">
        <v>84</v>
      </c>
      <c r="E623" s="40">
        <v>787.5</v>
      </c>
      <c r="F623" s="6">
        <v>787.5</v>
      </c>
      <c r="G623" s="7" t="s">
        <v>1658</v>
      </c>
      <c r="H623" s="8" t="s">
        <v>80</v>
      </c>
      <c r="I623" s="5" t="s">
        <v>19</v>
      </c>
      <c r="J623" s="10" t="s">
        <v>942</v>
      </c>
      <c r="K623" s="11" t="s">
        <v>3</v>
      </c>
      <c r="L623" s="68" t="s">
        <v>1662</v>
      </c>
    </row>
    <row r="624" spans="2:12" ht="45" x14ac:dyDescent="0.25">
      <c r="B624" s="5">
        <v>634</v>
      </c>
      <c r="C624" s="5" t="s">
        <v>1551</v>
      </c>
      <c r="D624" s="5" t="s">
        <v>88</v>
      </c>
      <c r="E624" s="40" t="s">
        <v>1894</v>
      </c>
      <c r="F624" s="6">
        <v>360</v>
      </c>
      <c r="G624" s="7" t="s">
        <v>1658</v>
      </c>
      <c r="H624" s="8" t="s">
        <v>80</v>
      </c>
      <c r="I624" s="5" t="s">
        <v>19</v>
      </c>
      <c r="J624" s="10" t="s">
        <v>927</v>
      </c>
      <c r="K624" s="11" t="s">
        <v>3</v>
      </c>
      <c r="L624" s="68" t="s">
        <v>1663</v>
      </c>
    </row>
    <row r="625" spans="2:12" ht="45" x14ac:dyDescent="0.25">
      <c r="B625" s="1">
        <v>635</v>
      </c>
      <c r="C625" s="5" t="s">
        <v>852</v>
      </c>
      <c r="D625" s="5" t="s">
        <v>88</v>
      </c>
      <c r="E625" s="40">
        <v>306.02</v>
      </c>
      <c r="F625" s="6">
        <v>360</v>
      </c>
      <c r="G625" s="7" t="s">
        <v>1658</v>
      </c>
      <c r="H625" s="8" t="s">
        <v>80</v>
      </c>
      <c r="I625" s="5" t="s">
        <v>19</v>
      </c>
      <c r="J625" s="10" t="s">
        <v>927</v>
      </c>
      <c r="K625" s="11" t="s">
        <v>3</v>
      </c>
      <c r="L625" s="68" t="s">
        <v>1664</v>
      </c>
    </row>
    <row r="626" spans="2:12" ht="45" x14ac:dyDescent="0.25">
      <c r="B626" s="1">
        <v>636</v>
      </c>
      <c r="C626" s="5" t="s">
        <v>1549</v>
      </c>
      <c r="D626" s="5" t="s">
        <v>88</v>
      </c>
      <c r="E626" s="40">
        <v>382.85</v>
      </c>
      <c r="F626" s="6">
        <v>450</v>
      </c>
      <c r="G626" s="7" t="s">
        <v>1658</v>
      </c>
      <c r="H626" s="8" t="s">
        <v>80</v>
      </c>
      <c r="I626" s="5" t="s">
        <v>19</v>
      </c>
      <c r="J626" s="10" t="s">
        <v>927</v>
      </c>
      <c r="K626" s="11" t="s">
        <v>3</v>
      </c>
      <c r="L626" s="68" t="s">
        <v>1665</v>
      </c>
    </row>
    <row r="627" spans="2:12" ht="45" x14ac:dyDescent="0.25">
      <c r="B627" s="5">
        <v>637</v>
      </c>
      <c r="C627" s="5" t="s">
        <v>1052</v>
      </c>
      <c r="D627" s="5" t="s">
        <v>88</v>
      </c>
      <c r="E627" s="40">
        <v>351</v>
      </c>
      <c r="F627" s="6">
        <v>360</v>
      </c>
      <c r="G627" s="7" t="s">
        <v>1658</v>
      </c>
      <c r="H627" s="8" t="s">
        <v>80</v>
      </c>
      <c r="I627" s="5" t="s">
        <v>19</v>
      </c>
      <c r="J627" s="10" t="s">
        <v>927</v>
      </c>
      <c r="K627" s="11" t="s">
        <v>3</v>
      </c>
      <c r="L627" s="68" t="s">
        <v>1666</v>
      </c>
    </row>
    <row r="628" spans="2:12" ht="45" x14ac:dyDescent="0.25">
      <c r="B628" s="5">
        <v>638</v>
      </c>
      <c r="C628" s="5" t="s">
        <v>1552</v>
      </c>
      <c r="D628" s="5" t="s">
        <v>88</v>
      </c>
      <c r="E628" s="40">
        <v>550</v>
      </c>
      <c r="F628" s="6">
        <v>550</v>
      </c>
      <c r="G628" s="7" t="s">
        <v>1658</v>
      </c>
      <c r="H628" s="8" t="s">
        <v>80</v>
      </c>
      <c r="I628" s="5" t="s">
        <v>19</v>
      </c>
      <c r="J628" s="10" t="s">
        <v>927</v>
      </c>
      <c r="K628" s="11" t="s">
        <v>3</v>
      </c>
      <c r="L628" s="68" t="s">
        <v>1667</v>
      </c>
    </row>
    <row r="629" spans="2:12" ht="45" x14ac:dyDescent="0.25">
      <c r="B629" s="1">
        <v>639</v>
      </c>
      <c r="C629" s="5" t="s">
        <v>1044</v>
      </c>
      <c r="D629" s="5" t="s">
        <v>88</v>
      </c>
      <c r="E629" s="40" t="s">
        <v>1882</v>
      </c>
      <c r="F629" s="6">
        <v>1500</v>
      </c>
      <c r="G629" s="7" t="s">
        <v>1658</v>
      </c>
      <c r="H629" s="8" t="s">
        <v>80</v>
      </c>
      <c r="I629" s="5" t="s">
        <v>19</v>
      </c>
      <c r="J629" s="10" t="s">
        <v>927</v>
      </c>
      <c r="K629" s="11" t="s">
        <v>3</v>
      </c>
      <c r="L629" s="68" t="s">
        <v>1668</v>
      </c>
    </row>
    <row r="630" spans="2:12" ht="48" customHeight="1" x14ac:dyDescent="0.25">
      <c r="B630" s="1">
        <v>640</v>
      </c>
      <c r="C630" s="5" t="s">
        <v>102</v>
      </c>
      <c r="D630" s="5" t="s">
        <v>103</v>
      </c>
      <c r="E630" s="40" t="s">
        <v>1887</v>
      </c>
      <c r="F630" s="6">
        <v>6590.7</v>
      </c>
      <c r="G630" s="7" t="s">
        <v>1658</v>
      </c>
      <c r="H630" s="8" t="s">
        <v>80</v>
      </c>
      <c r="I630" s="5" t="s">
        <v>19</v>
      </c>
      <c r="J630" s="10" t="s">
        <v>946</v>
      </c>
      <c r="K630" s="11" t="s">
        <v>3</v>
      </c>
      <c r="L630" s="68" t="s">
        <v>1669</v>
      </c>
    </row>
    <row r="631" spans="2:12" ht="45" x14ac:dyDescent="0.25">
      <c r="B631" s="5">
        <v>641</v>
      </c>
      <c r="C631" s="5" t="s">
        <v>646</v>
      </c>
      <c r="D631" s="5" t="s">
        <v>103</v>
      </c>
      <c r="E631" s="40" t="s">
        <v>976</v>
      </c>
      <c r="F631" s="6">
        <v>2210</v>
      </c>
      <c r="G631" s="7" t="s">
        <v>1658</v>
      </c>
      <c r="H631" s="8" t="s">
        <v>80</v>
      </c>
      <c r="I631" s="5" t="s">
        <v>19</v>
      </c>
      <c r="J631" s="10" t="s">
        <v>946</v>
      </c>
      <c r="K631" s="11" t="s">
        <v>3</v>
      </c>
      <c r="L631" s="68" t="s">
        <v>1670</v>
      </c>
    </row>
    <row r="632" spans="2:12" ht="45" x14ac:dyDescent="0.25">
      <c r="B632" s="5">
        <v>642</v>
      </c>
      <c r="C632" s="5" t="s">
        <v>1553</v>
      </c>
      <c r="D632" s="5" t="s">
        <v>88</v>
      </c>
      <c r="E632" s="40" t="s">
        <v>1963</v>
      </c>
      <c r="F632" s="6">
        <v>160</v>
      </c>
      <c r="G632" s="7" t="s">
        <v>1671</v>
      </c>
      <c r="H632" s="8" t="s">
        <v>80</v>
      </c>
      <c r="I632" s="5" t="s">
        <v>19</v>
      </c>
      <c r="J632" s="10" t="s">
        <v>927</v>
      </c>
      <c r="K632" s="11" t="s">
        <v>3</v>
      </c>
      <c r="L632" s="68" t="s">
        <v>1672</v>
      </c>
    </row>
    <row r="633" spans="2:12" ht="45" x14ac:dyDescent="0.25">
      <c r="B633" s="1">
        <v>643</v>
      </c>
      <c r="C633" s="5" t="s">
        <v>1554</v>
      </c>
      <c r="D633" s="5" t="s">
        <v>84</v>
      </c>
      <c r="E633" s="40" t="s">
        <v>1889</v>
      </c>
      <c r="F633" s="6">
        <v>520</v>
      </c>
      <c r="G633" s="7" t="s">
        <v>1671</v>
      </c>
      <c r="H633" s="8" t="s">
        <v>80</v>
      </c>
      <c r="I633" s="5" t="s">
        <v>19</v>
      </c>
      <c r="J633" s="10" t="s">
        <v>942</v>
      </c>
      <c r="K633" s="11" t="s">
        <v>3</v>
      </c>
      <c r="L633" s="68" t="s">
        <v>1673</v>
      </c>
    </row>
    <row r="634" spans="2:12" ht="45" x14ac:dyDescent="0.25">
      <c r="B634" s="1">
        <v>644</v>
      </c>
      <c r="C634" s="5" t="s">
        <v>1554</v>
      </c>
      <c r="D634" s="5" t="s">
        <v>88</v>
      </c>
      <c r="E634" s="40" t="s">
        <v>1490</v>
      </c>
      <c r="F634" s="6">
        <v>720</v>
      </c>
      <c r="G634" s="7" t="s">
        <v>1671</v>
      </c>
      <c r="H634" s="8" t="s">
        <v>80</v>
      </c>
      <c r="I634" s="5" t="s">
        <v>19</v>
      </c>
      <c r="J634" s="10" t="s">
        <v>927</v>
      </c>
      <c r="K634" s="11" t="s">
        <v>3</v>
      </c>
      <c r="L634" s="68" t="s">
        <v>1674</v>
      </c>
    </row>
    <row r="635" spans="2:12" ht="45" x14ac:dyDescent="0.25">
      <c r="B635" s="5">
        <v>645</v>
      </c>
      <c r="C635" s="5" t="s">
        <v>167</v>
      </c>
      <c r="D635" s="5" t="s">
        <v>82</v>
      </c>
      <c r="E635" s="40" t="s">
        <v>1892</v>
      </c>
      <c r="F635" s="6">
        <v>2137.5</v>
      </c>
      <c r="G635" s="7" t="s">
        <v>1671</v>
      </c>
      <c r="H635" s="8" t="s">
        <v>80</v>
      </c>
      <c r="I635" s="5" t="s">
        <v>19</v>
      </c>
      <c r="J635" s="10" t="s">
        <v>944</v>
      </c>
      <c r="K635" s="11" t="s">
        <v>3</v>
      </c>
      <c r="L635" s="68" t="s">
        <v>1675</v>
      </c>
    </row>
    <row r="636" spans="2:12" ht="45" x14ac:dyDescent="0.25">
      <c r="B636" s="5">
        <v>646</v>
      </c>
      <c r="C636" s="5" t="s">
        <v>1058</v>
      </c>
      <c r="D636" s="5" t="s">
        <v>563</v>
      </c>
      <c r="E636" s="40" t="s">
        <v>1891</v>
      </c>
      <c r="F636" s="6">
        <v>4750</v>
      </c>
      <c r="G636" s="7" t="s">
        <v>1671</v>
      </c>
      <c r="H636" s="8" t="s">
        <v>80</v>
      </c>
      <c r="I636" s="5" t="s">
        <v>19</v>
      </c>
      <c r="J636" s="10" t="s">
        <v>943</v>
      </c>
      <c r="K636" s="11" t="s">
        <v>3</v>
      </c>
      <c r="L636" s="68" t="s">
        <v>1676</v>
      </c>
    </row>
    <row r="637" spans="2:12" ht="45" x14ac:dyDescent="0.25">
      <c r="B637" s="1">
        <v>647</v>
      </c>
      <c r="C637" s="5" t="s">
        <v>454</v>
      </c>
      <c r="D637" s="5" t="s">
        <v>563</v>
      </c>
      <c r="E637" s="40">
        <v>300</v>
      </c>
      <c r="F637" s="6">
        <v>300</v>
      </c>
      <c r="G637" s="7" t="s">
        <v>1677</v>
      </c>
      <c r="H637" s="8" t="s">
        <v>80</v>
      </c>
      <c r="I637" s="5" t="s">
        <v>19</v>
      </c>
      <c r="J637" s="10" t="s">
        <v>943</v>
      </c>
      <c r="K637" s="11" t="s">
        <v>3</v>
      </c>
      <c r="L637" s="68" t="s">
        <v>1678</v>
      </c>
    </row>
    <row r="638" spans="2:12" s="5" customFormat="1" ht="45" x14ac:dyDescent="0.25">
      <c r="B638" s="1">
        <v>648</v>
      </c>
      <c r="C638" s="5" t="s">
        <v>454</v>
      </c>
      <c r="D638" s="5" t="s">
        <v>82</v>
      </c>
      <c r="E638" s="40">
        <v>150</v>
      </c>
      <c r="F638" s="6">
        <v>150</v>
      </c>
      <c r="G638" s="7" t="s">
        <v>1677</v>
      </c>
      <c r="H638" s="8" t="s">
        <v>80</v>
      </c>
      <c r="I638" s="5" t="s">
        <v>19</v>
      </c>
      <c r="J638" s="10" t="s">
        <v>944</v>
      </c>
      <c r="K638" s="11" t="s">
        <v>3</v>
      </c>
      <c r="L638" s="68" t="s">
        <v>1679</v>
      </c>
    </row>
    <row r="639" spans="2:12" ht="45" x14ac:dyDescent="0.25">
      <c r="B639" s="5">
        <v>649</v>
      </c>
      <c r="C639" s="5" t="s">
        <v>1555</v>
      </c>
      <c r="D639" s="5" t="s">
        <v>84</v>
      </c>
      <c r="E639" s="40" t="s">
        <v>1893</v>
      </c>
      <c r="F639" s="6">
        <v>1152</v>
      </c>
      <c r="G639" s="7" t="s">
        <v>1677</v>
      </c>
      <c r="H639" s="8" t="s">
        <v>80</v>
      </c>
      <c r="I639" s="5" t="s">
        <v>19</v>
      </c>
      <c r="J639" s="10" t="s">
        <v>942</v>
      </c>
      <c r="K639" s="11" t="s">
        <v>3</v>
      </c>
      <c r="L639" s="68" t="s">
        <v>1680</v>
      </c>
    </row>
    <row r="640" spans="2:12" ht="45" x14ac:dyDescent="0.25">
      <c r="B640" s="5">
        <v>650</v>
      </c>
      <c r="C640" s="5" t="s">
        <v>1058</v>
      </c>
      <c r="D640" s="5" t="s">
        <v>563</v>
      </c>
      <c r="E640" s="40">
        <v>800</v>
      </c>
      <c r="F640" s="6">
        <v>800</v>
      </c>
      <c r="G640" s="7" t="s">
        <v>1677</v>
      </c>
      <c r="H640" s="8" t="s">
        <v>80</v>
      </c>
      <c r="I640" s="5" t="s">
        <v>19</v>
      </c>
      <c r="J640" s="10" t="s">
        <v>943</v>
      </c>
      <c r="K640" s="11" t="s">
        <v>3</v>
      </c>
      <c r="L640" s="68" t="s">
        <v>1681</v>
      </c>
    </row>
    <row r="641" spans="2:12" ht="101.25" x14ac:dyDescent="0.25">
      <c r="B641" s="1">
        <v>651</v>
      </c>
      <c r="C641" s="5" t="s">
        <v>501</v>
      </c>
      <c r="D641" s="5" t="s">
        <v>1556</v>
      </c>
      <c r="E641" s="40" t="s">
        <v>438</v>
      </c>
      <c r="F641" s="6">
        <v>1500</v>
      </c>
      <c r="G641" s="7" t="s">
        <v>1677</v>
      </c>
      <c r="H641" s="8" t="s">
        <v>80</v>
      </c>
      <c r="I641" s="5" t="s">
        <v>19</v>
      </c>
      <c r="J641" s="10" t="s">
        <v>929</v>
      </c>
      <c r="K641" s="13" t="s">
        <v>281</v>
      </c>
      <c r="L641" s="68" t="s">
        <v>1682</v>
      </c>
    </row>
    <row r="642" spans="2:12" ht="45" x14ac:dyDescent="0.25">
      <c r="B642" s="1">
        <v>652</v>
      </c>
      <c r="C642" s="5" t="s">
        <v>1271</v>
      </c>
      <c r="D642" s="5" t="s">
        <v>88</v>
      </c>
      <c r="E642" s="40" t="s">
        <v>439</v>
      </c>
      <c r="F642" s="6">
        <v>450</v>
      </c>
      <c r="G642" s="7" t="s">
        <v>1677</v>
      </c>
      <c r="H642" s="8" t="s">
        <v>80</v>
      </c>
      <c r="I642" s="5" t="s">
        <v>19</v>
      </c>
      <c r="J642" s="10" t="s">
        <v>927</v>
      </c>
      <c r="K642" s="11" t="s">
        <v>3</v>
      </c>
      <c r="L642" s="68" t="s">
        <v>1683</v>
      </c>
    </row>
    <row r="643" spans="2:12" ht="45" x14ac:dyDescent="0.25">
      <c r="B643" s="5">
        <v>653</v>
      </c>
      <c r="C643" s="5" t="s">
        <v>1557</v>
      </c>
      <c r="D643" s="5" t="s">
        <v>103</v>
      </c>
      <c r="E643" s="40" t="s">
        <v>1890</v>
      </c>
      <c r="F643" s="6">
        <v>602</v>
      </c>
      <c r="G643" s="7" t="s">
        <v>1677</v>
      </c>
      <c r="H643" s="8" t="s">
        <v>80</v>
      </c>
      <c r="I643" s="5" t="s">
        <v>19</v>
      </c>
      <c r="J643" s="10" t="s">
        <v>946</v>
      </c>
      <c r="K643" s="11" t="s">
        <v>3</v>
      </c>
      <c r="L643" s="68" t="s">
        <v>1684</v>
      </c>
    </row>
    <row r="644" spans="2:12" ht="101.25" x14ac:dyDescent="0.25">
      <c r="B644" s="5">
        <v>654</v>
      </c>
      <c r="C644" s="5" t="s">
        <v>1558</v>
      </c>
      <c r="D644" s="5" t="s">
        <v>1559</v>
      </c>
      <c r="E644" s="40" t="s">
        <v>1888</v>
      </c>
      <c r="F644" s="6">
        <v>9780</v>
      </c>
      <c r="G644" s="7" t="s">
        <v>1677</v>
      </c>
      <c r="H644" s="8" t="s">
        <v>80</v>
      </c>
      <c r="I644" s="5" t="s">
        <v>19</v>
      </c>
      <c r="J644" s="10" t="s">
        <v>1143</v>
      </c>
      <c r="K644" s="13" t="s">
        <v>588</v>
      </c>
      <c r="L644" s="68" t="s">
        <v>1685</v>
      </c>
    </row>
    <row r="645" spans="2:12" ht="101.25" x14ac:dyDescent="0.25">
      <c r="B645" s="1">
        <v>655</v>
      </c>
      <c r="C645" s="5" t="s">
        <v>624</v>
      </c>
      <c r="D645" s="5" t="s">
        <v>1312</v>
      </c>
      <c r="E645" s="40" t="s">
        <v>1900</v>
      </c>
      <c r="F645" s="6" t="s">
        <v>1900</v>
      </c>
      <c r="G645" s="7" t="s">
        <v>1686</v>
      </c>
      <c r="H645" s="8" t="s">
        <v>80</v>
      </c>
      <c r="I645" s="5" t="s">
        <v>19</v>
      </c>
      <c r="J645" s="10" t="s">
        <v>1371</v>
      </c>
      <c r="K645" s="13" t="s">
        <v>588</v>
      </c>
      <c r="L645" s="68" t="s">
        <v>1687</v>
      </c>
    </row>
    <row r="646" spans="2:12" ht="101.25" x14ac:dyDescent="0.25">
      <c r="B646" s="1">
        <v>656</v>
      </c>
      <c r="C646" s="5" t="s">
        <v>1272</v>
      </c>
      <c r="D646" s="5" t="s">
        <v>1560</v>
      </c>
      <c r="E646" s="40">
        <f>26887.91+98357.84+18000+93668.03</f>
        <v>236913.78</v>
      </c>
      <c r="F646" s="6">
        <v>474196.93</v>
      </c>
      <c r="G646" s="7" t="s">
        <v>1686</v>
      </c>
      <c r="H646" s="8" t="s">
        <v>80</v>
      </c>
      <c r="I646" s="5" t="s">
        <v>19</v>
      </c>
      <c r="J646" s="10" t="s">
        <v>929</v>
      </c>
      <c r="K646" s="13" t="s">
        <v>1688</v>
      </c>
      <c r="L646" s="68" t="s">
        <v>1689</v>
      </c>
    </row>
    <row r="647" spans="2:12" ht="45" x14ac:dyDescent="0.25">
      <c r="B647" s="5">
        <v>657</v>
      </c>
      <c r="C647" s="5" t="s">
        <v>668</v>
      </c>
      <c r="D647" s="5" t="s">
        <v>88</v>
      </c>
      <c r="E647" s="40">
        <v>448.3</v>
      </c>
      <c r="F647" s="6">
        <v>450</v>
      </c>
      <c r="G647" s="7" t="s">
        <v>1686</v>
      </c>
      <c r="H647" s="8" t="s">
        <v>80</v>
      </c>
      <c r="I647" s="5" t="s">
        <v>19</v>
      </c>
      <c r="J647" s="10" t="s">
        <v>927</v>
      </c>
      <c r="K647" s="11" t="s">
        <v>3</v>
      </c>
      <c r="L647" s="68" t="s">
        <v>1690</v>
      </c>
    </row>
    <row r="648" spans="2:12" ht="22.5" x14ac:dyDescent="0.25">
      <c r="B648" s="5">
        <v>658</v>
      </c>
      <c r="C648" s="5" t="s">
        <v>1561</v>
      </c>
      <c r="D648" s="5" t="s">
        <v>1562</v>
      </c>
      <c r="E648" s="38">
        <f>8145</f>
        <v>8145</v>
      </c>
      <c r="F648" s="6">
        <v>11225</v>
      </c>
      <c r="G648" s="7" t="s">
        <v>1691</v>
      </c>
      <c r="H648" s="8" t="s">
        <v>26</v>
      </c>
      <c r="I648" s="5" t="s">
        <v>9</v>
      </c>
      <c r="J648" s="10" t="s">
        <v>1141</v>
      </c>
      <c r="K648" s="5" t="s">
        <v>1692</v>
      </c>
      <c r="L648" s="68"/>
    </row>
    <row r="649" spans="2:12" ht="45" x14ac:dyDescent="0.25">
      <c r="B649" s="1">
        <v>659</v>
      </c>
      <c r="C649" s="5" t="s">
        <v>645</v>
      </c>
      <c r="D649" s="5" t="s">
        <v>84</v>
      </c>
      <c r="E649" s="40" t="s">
        <v>1899</v>
      </c>
      <c r="F649" s="6">
        <v>1520.23</v>
      </c>
      <c r="G649" s="7" t="s">
        <v>1693</v>
      </c>
      <c r="H649" s="8" t="s">
        <v>80</v>
      </c>
      <c r="I649" s="5" t="s">
        <v>19</v>
      </c>
      <c r="J649" s="10" t="s">
        <v>942</v>
      </c>
      <c r="K649" s="11" t="s">
        <v>3</v>
      </c>
      <c r="L649" s="68" t="s">
        <v>1694</v>
      </c>
    </row>
    <row r="650" spans="2:12" ht="45" x14ac:dyDescent="0.25">
      <c r="B650" s="1">
        <v>660</v>
      </c>
      <c r="C650" s="5" t="s">
        <v>1563</v>
      </c>
      <c r="D650" s="5" t="s">
        <v>82</v>
      </c>
      <c r="E650" s="40" t="s">
        <v>1193</v>
      </c>
      <c r="F650" s="6">
        <v>1000</v>
      </c>
      <c r="G650" s="7" t="s">
        <v>1693</v>
      </c>
      <c r="H650" s="8" t="s">
        <v>80</v>
      </c>
      <c r="I650" s="5" t="s">
        <v>19</v>
      </c>
      <c r="J650" s="10" t="s">
        <v>944</v>
      </c>
      <c r="K650" s="11" t="s">
        <v>3</v>
      </c>
      <c r="L650" s="68" t="s">
        <v>1695</v>
      </c>
    </row>
    <row r="651" spans="2:12" ht="45" x14ac:dyDescent="0.25">
      <c r="B651" s="5">
        <v>661</v>
      </c>
      <c r="C651" s="5" t="s">
        <v>562</v>
      </c>
      <c r="D651" s="5" t="s">
        <v>563</v>
      </c>
      <c r="E651" s="40">
        <v>910</v>
      </c>
      <c r="F651" s="6">
        <v>910</v>
      </c>
      <c r="G651" s="7" t="s">
        <v>1696</v>
      </c>
      <c r="H651" s="8" t="s">
        <v>80</v>
      </c>
      <c r="I651" s="5" t="s">
        <v>19</v>
      </c>
      <c r="J651" s="10" t="s">
        <v>943</v>
      </c>
      <c r="K651" s="11" t="s">
        <v>3</v>
      </c>
      <c r="L651" s="68" t="s">
        <v>1697</v>
      </c>
    </row>
    <row r="652" spans="2:12" ht="45" x14ac:dyDescent="0.25">
      <c r="B652" s="5">
        <v>662</v>
      </c>
      <c r="C652" s="5" t="s">
        <v>1564</v>
      </c>
      <c r="D652" s="5" t="s">
        <v>84</v>
      </c>
      <c r="E652" s="40">
        <v>450</v>
      </c>
      <c r="F652" s="6">
        <v>450</v>
      </c>
      <c r="G652" s="7" t="s">
        <v>1696</v>
      </c>
      <c r="H652" s="8" t="s">
        <v>80</v>
      </c>
      <c r="I652" s="5" t="s">
        <v>19</v>
      </c>
      <c r="J652" s="10" t="s">
        <v>942</v>
      </c>
      <c r="K652" s="11" t="s">
        <v>3</v>
      </c>
      <c r="L652" s="68" t="s">
        <v>1698</v>
      </c>
    </row>
    <row r="653" spans="2:12" ht="45" x14ac:dyDescent="0.25">
      <c r="B653" s="1">
        <v>663</v>
      </c>
      <c r="C653" s="5" t="s">
        <v>1565</v>
      </c>
      <c r="D653" s="5" t="s">
        <v>88</v>
      </c>
      <c r="E653" s="40">
        <v>103.95</v>
      </c>
      <c r="F653" s="6">
        <v>200</v>
      </c>
      <c r="G653" s="7" t="s">
        <v>1696</v>
      </c>
      <c r="H653" s="8" t="s">
        <v>80</v>
      </c>
      <c r="I653" s="5" t="s">
        <v>19</v>
      </c>
      <c r="J653" s="10" t="s">
        <v>927</v>
      </c>
      <c r="K653" s="11" t="s">
        <v>3</v>
      </c>
      <c r="L653" s="68" t="s">
        <v>1699</v>
      </c>
    </row>
    <row r="654" spans="2:12" ht="45" x14ac:dyDescent="0.25">
      <c r="B654" s="1">
        <v>664</v>
      </c>
      <c r="C654" s="5" t="s">
        <v>1566</v>
      </c>
      <c r="D654" s="5" t="s">
        <v>88</v>
      </c>
      <c r="E654" s="40">
        <v>125</v>
      </c>
      <c r="F654" s="6">
        <v>200</v>
      </c>
      <c r="G654" s="7" t="s">
        <v>1696</v>
      </c>
      <c r="H654" s="8" t="s">
        <v>80</v>
      </c>
      <c r="I654" s="5" t="s">
        <v>19</v>
      </c>
      <c r="J654" s="10" t="s">
        <v>927</v>
      </c>
      <c r="K654" s="11" t="s">
        <v>3</v>
      </c>
      <c r="L654" s="68" t="s">
        <v>1700</v>
      </c>
    </row>
    <row r="655" spans="2:12" ht="45" x14ac:dyDescent="0.25">
      <c r="B655" s="5">
        <v>665</v>
      </c>
      <c r="C655" s="5" t="s">
        <v>1564</v>
      </c>
      <c r="D655" s="5" t="s">
        <v>88</v>
      </c>
      <c r="E655" s="40" t="s">
        <v>1917</v>
      </c>
      <c r="F655" s="6">
        <v>240</v>
      </c>
      <c r="G655" s="7" t="s">
        <v>1696</v>
      </c>
      <c r="H655" s="8" t="s">
        <v>80</v>
      </c>
      <c r="I655" s="5" t="s">
        <v>19</v>
      </c>
      <c r="J655" s="10" t="s">
        <v>927</v>
      </c>
      <c r="K655" s="11" t="s">
        <v>3</v>
      </c>
      <c r="L655" s="68" t="s">
        <v>1701</v>
      </c>
    </row>
    <row r="656" spans="2:12" ht="45" x14ac:dyDescent="0.25">
      <c r="B656" s="5">
        <v>666</v>
      </c>
      <c r="C656" s="5" t="s">
        <v>1550</v>
      </c>
      <c r="D656" s="5" t="s">
        <v>84</v>
      </c>
      <c r="E656" s="40" t="s">
        <v>1908</v>
      </c>
      <c r="F656" s="6" t="s">
        <v>1909</v>
      </c>
      <c r="G656" s="7" t="s">
        <v>1696</v>
      </c>
      <c r="H656" s="8" t="s">
        <v>80</v>
      </c>
      <c r="I656" s="5" t="s">
        <v>19</v>
      </c>
      <c r="J656" s="10" t="s">
        <v>942</v>
      </c>
      <c r="K656" s="11" t="s">
        <v>3</v>
      </c>
      <c r="L656" s="68" t="s">
        <v>1702</v>
      </c>
    </row>
    <row r="657" spans="2:12" ht="45" x14ac:dyDescent="0.25">
      <c r="B657" s="1">
        <v>667</v>
      </c>
      <c r="C657" s="5" t="s">
        <v>396</v>
      </c>
      <c r="D657" s="5" t="s">
        <v>82</v>
      </c>
      <c r="E657" s="40" t="s">
        <v>1922</v>
      </c>
      <c r="F657" s="6">
        <v>3562.5</v>
      </c>
      <c r="G657" s="7" t="s">
        <v>1696</v>
      </c>
      <c r="H657" s="8" t="s">
        <v>80</v>
      </c>
      <c r="I657" s="5" t="s">
        <v>19</v>
      </c>
      <c r="J657" s="10" t="s">
        <v>944</v>
      </c>
      <c r="K657" s="11" t="s">
        <v>3</v>
      </c>
      <c r="L657" s="68" t="s">
        <v>1703</v>
      </c>
    </row>
    <row r="658" spans="2:12" ht="45" x14ac:dyDescent="0.25">
      <c r="B658" s="1">
        <v>668</v>
      </c>
      <c r="C658" s="5" t="s">
        <v>396</v>
      </c>
      <c r="D658" s="5" t="s">
        <v>563</v>
      </c>
      <c r="E658" s="40" t="s">
        <v>1923</v>
      </c>
      <c r="F658" s="6">
        <v>3937.5</v>
      </c>
      <c r="G658" s="7" t="s">
        <v>1696</v>
      </c>
      <c r="H658" s="8" t="s">
        <v>80</v>
      </c>
      <c r="I658" s="5" t="s">
        <v>19</v>
      </c>
      <c r="J658" s="10" t="s">
        <v>943</v>
      </c>
      <c r="K658" s="11" t="s">
        <v>3</v>
      </c>
      <c r="L658" s="68" t="s">
        <v>1704</v>
      </c>
    </row>
    <row r="659" spans="2:12" ht="45" x14ac:dyDescent="0.25">
      <c r="B659" s="5">
        <v>669</v>
      </c>
      <c r="C659" s="5" t="s">
        <v>646</v>
      </c>
      <c r="D659" s="5" t="s">
        <v>103</v>
      </c>
      <c r="E659" s="40" t="s">
        <v>1905</v>
      </c>
      <c r="F659" s="6">
        <v>7276</v>
      </c>
      <c r="G659" s="7" t="s">
        <v>1696</v>
      </c>
      <c r="H659" s="8" t="s">
        <v>80</v>
      </c>
      <c r="I659" s="5" t="s">
        <v>19</v>
      </c>
      <c r="J659" s="10" t="s">
        <v>946</v>
      </c>
      <c r="K659" s="11" t="s">
        <v>3</v>
      </c>
      <c r="L659" s="68" t="s">
        <v>1705</v>
      </c>
    </row>
    <row r="660" spans="2:12" ht="45" x14ac:dyDescent="0.25">
      <c r="B660" s="5">
        <v>670</v>
      </c>
      <c r="C660" s="5" t="s">
        <v>102</v>
      </c>
      <c r="D660" s="5" t="s">
        <v>103</v>
      </c>
      <c r="E660" s="40" t="s">
        <v>1904</v>
      </c>
      <c r="F660" s="6">
        <v>8800</v>
      </c>
      <c r="G660" s="7" t="s">
        <v>1696</v>
      </c>
      <c r="H660" s="8" t="s">
        <v>80</v>
      </c>
      <c r="I660" s="5" t="s">
        <v>19</v>
      </c>
      <c r="J660" s="10" t="s">
        <v>946</v>
      </c>
      <c r="K660" s="11" t="s">
        <v>3</v>
      </c>
      <c r="L660" s="68" t="s">
        <v>1706</v>
      </c>
    </row>
    <row r="661" spans="2:12" ht="45" x14ac:dyDescent="0.25">
      <c r="B661" s="1">
        <v>671</v>
      </c>
      <c r="C661" s="5" t="s">
        <v>1058</v>
      </c>
      <c r="D661" s="5" t="s">
        <v>563</v>
      </c>
      <c r="E661" s="40">
        <v>660</v>
      </c>
      <c r="F661" s="6">
        <v>660</v>
      </c>
      <c r="G661" s="7" t="s">
        <v>1707</v>
      </c>
      <c r="H661" s="8" t="s">
        <v>80</v>
      </c>
      <c r="I661" s="5" t="s">
        <v>19</v>
      </c>
      <c r="J661" s="10" t="s">
        <v>943</v>
      </c>
      <c r="K661" s="11" t="s">
        <v>3</v>
      </c>
      <c r="L661" s="68" t="s">
        <v>1708</v>
      </c>
    </row>
    <row r="662" spans="2:12" ht="45" x14ac:dyDescent="0.25">
      <c r="B662" s="1">
        <v>672</v>
      </c>
      <c r="C662" s="5" t="s">
        <v>668</v>
      </c>
      <c r="D662" s="5" t="s">
        <v>88</v>
      </c>
      <c r="E662" s="40">
        <v>200.2</v>
      </c>
      <c r="F662" s="6">
        <v>250</v>
      </c>
      <c r="G662" s="7" t="s">
        <v>1707</v>
      </c>
      <c r="H662" s="8" t="s">
        <v>80</v>
      </c>
      <c r="I662" s="5" t="s">
        <v>19</v>
      </c>
      <c r="J662" s="10" t="s">
        <v>927</v>
      </c>
      <c r="K662" s="11" t="s">
        <v>3</v>
      </c>
      <c r="L662" s="68" t="s">
        <v>1709</v>
      </c>
    </row>
    <row r="663" spans="2:12" ht="45" x14ac:dyDescent="0.25">
      <c r="B663" s="5">
        <v>673</v>
      </c>
      <c r="C663" s="5" t="s">
        <v>509</v>
      </c>
      <c r="D663" s="5" t="s">
        <v>88</v>
      </c>
      <c r="E663" s="40" t="s">
        <v>1930</v>
      </c>
      <c r="F663" s="6">
        <v>100</v>
      </c>
      <c r="G663" s="7" t="s">
        <v>1707</v>
      </c>
      <c r="H663" s="8" t="s">
        <v>80</v>
      </c>
      <c r="I663" s="5" t="s">
        <v>19</v>
      </c>
      <c r="J663" s="10" t="s">
        <v>927</v>
      </c>
      <c r="K663" s="11" t="s">
        <v>3</v>
      </c>
      <c r="L663" s="68" t="s">
        <v>1710</v>
      </c>
    </row>
    <row r="664" spans="2:12" ht="45" x14ac:dyDescent="0.25">
      <c r="B664" s="1">
        <v>675</v>
      </c>
      <c r="C664" s="5" t="s">
        <v>635</v>
      </c>
      <c r="D664" s="5" t="s">
        <v>84</v>
      </c>
      <c r="E664" s="40">
        <v>380</v>
      </c>
      <c r="F664" s="6">
        <v>380</v>
      </c>
      <c r="G664" s="7" t="s">
        <v>1707</v>
      </c>
      <c r="H664" s="8" t="s">
        <v>80</v>
      </c>
      <c r="I664" s="5" t="s">
        <v>19</v>
      </c>
      <c r="J664" s="10" t="s">
        <v>942</v>
      </c>
      <c r="K664" s="11" t="s">
        <v>3</v>
      </c>
      <c r="L664" s="68" t="s">
        <v>1711</v>
      </c>
    </row>
    <row r="665" spans="2:12" ht="45" x14ac:dyDescent="0.25">
      <c r="B665" s="1">
        <v>676</v>
      </c>
      <c r="C665" s="5" t="s">
        <v>167</v>
      </c>
      <c r="D665" s="5" t="s">
        <v>82</v>
      </c>
      <c r="E665" s="40" t="s">
        <v>1896</v>
      </c>
      <c r="F665" s="6">
        <v>925</v>
      </c>
      <c r="G665" s="7" t="s">
        <v>1707</v>
      </c>
      <c r="H665" s="8" t="s">
        <v>80</v>
      </c>
      <c r="I665" s="5" t="s">
        <v>19</v>
      </c>
      <c r="J665" s="10" t="s">
        <v>944</v>
      </c>
      <c r="K665" s="74" t="s">
        <v>3</v>
      </c>
      <c r="L665" s="75" t="s">
        <v>1712</v>
      </c>
    </row>
    <row r="666" spans="2:12" ht="45" x14ac:dyDescent="0.25">
      <c r="B666" s="5">
        <v>677</v>
      </c>
      <c r="C666" s="5" t="s">
        <v>454</v>
      </c>
      <c r="D666" s="5" t="s">
        <v>82</v>
      </c>
      <c r="E666" s="40" t="s">
        <v>1910</v>
      </c>
      <c r="F666" s="6">
        <v>2350</v>
      </c>
      <c r="G666" s="7" t="s">
        <v>1707</v>
      </c>
      <c r="H666" s="8" t="s">
        <v>80</v>
      </c>
      <c r="I666" s="5" t="s">
        <v>19</v>
      </c>
      <c r="J666" s="10" t="s">
        <v>944</v>
      </c>
      <c r="K666" s="74" t="s">
        <v>3</v>
      </c>
      <c r="L666" s="68" t="s">
        <v>1713</v>
      </c>
    </row>
    <row r="667" spans="2:12" ht="45" x14ac:dyDescent="0.25">
      <c r="B667" s="5">
        <v>678</v>
      </c>
      <c r="C667" s="5" t="s">
        <v>454</v>
      </c>
      <c r="D667" s="5" t="s">
        <v>563</v>
      </c>
      <c r="E667" s="40" t="s">
        <v>1911</v>
      </c>
      <c r="F667" s="6">
        <v>4050</v>
      </c>
      <c r="G667" s="7" t="s">
        <v>1707</v>
      </c>
      <c r="H667" s="8" t="s">
        <v>80</v>
      </c>
      <c r="I667" s="5" t="s">
        <v>19</v>
      </c>
      <c r="J667" s="10" t="s">
        <v>943</v>
      </c>
      <c r="K667" s="74" t="s">
        <v>3</v>
      </c>
      <c r="L667" s="68" t="s">
        <v>1714</v>
      </c>
    </row>
    <row r="668" spans="2:12" ht="45" x14ac:dyDescent="0.25">
      <c r="B668" s="1">
        <v>679</v>
      </c>
      <c r="C668" s="5" t="s">
        <v>102</v>
      </c>
      <c r="D668" s="5" t="s">
        <v>103</v>
      </c>
      <c r="E668" s="40" t="s">
        <v>2118</v>
      </c>
      <c r="F668" s="6">
        <v>2399</v>
      </c>
      <c r="G668" s="7" t="s">
        <v>1707</v>
      </c>
      <c r="H668" s="8" t="s">
        <v>80</v>
      </c>
      <c r="I668" s="5" t="s">
        <v>19</v>
      </c>
      <c r="J668" s="10" t="s">
        <v>946</v>
      </c>
      <c r="K668" s="74" t="s">
        <v>3</v>
      </c>
      <c r="L668" s="68" t="s">
        <v>1715</v>
      </c>
    </row>
    <row r="669" spans="2:12" ht="45" x14ac:dyDescent="0.25">
      <c r="B669" s="1">
        <v>680</v>
      </c>
      <c r="C669" s="5" t="s">
        <v>849</v>
      </c>
      <c r="D669" s="5" t="s">
        <v>88</v>
      </c>
      <c r="E669" s="40" t="s">
        <v>1907</v>
      </c>
      <c r="F669" s="6">
        <v>100</v>
      </c>
      <c r="G669" s="7" t="s">
        <v>1716</v>
      </c>
      <c r="H669" s="8" t="s">
        <v>80</v>
      </c>
      <c r="I669" s="5" t="s">
        <v>19</v>
      </c>
      <c r="J669" s="10" t="s">
        <v>927</v>
      </c>
      <c r="K669" s="74" t="s">
        <v>3</v>
      </c>
      <c r="L669" s="68" t="s">
        <v>1717</v>
      </c>
    </row>
    <row r="670" spans="2:12" ht="45" x14ac:dyDescent="0.25">
      <c r="B670" s="5">
        <v>681</v>
      </c>
      <c r="C670" s="5" t="s">
        <v>1567</v>
      </c>
      <c r="D670" s="5" t="s">
        <v>88</v>
      </c>
      <c r="E670" s="40">
        <v>100</v>
      </c>
      <c r="F670" s="6">
        <v>100</v>
      </c>
      <c r="G670" s="7" t="s">
        <v>1716</v>
      </c>
      <c r="H670" s="8" t="s">
        <v>80</v>
      </c>
      <c r="I670" s="5" t="s">
        <v>19</v>
      </c>
      <c r="J670" s="10" t="s">
        <v>927</v>
      </c>
      <c r="K670" s="74" t="s">
        <v>3</v>
      </c>
      <c r="L670" s="68" t="s">
        <v>1718</v>
      </c>
    </row>
    <row r="671" spans="2:12" ht="45" x14ac:dyDescent="0.25">
      <c r="B671" s="5">
        <v>682</v>
      </c>
      <c r="C671" s="5" t="s">
        <v>102</v>
      </c>
      <c r="D671" s="5" t="s">
        <v>103</v>
      </c>
      <c r="E671" s="40" t="s">
        <v>2119</v>
      </c>
      <c r="F671" s="6">
        <v>3369.9</v>
      </c>
      <c r="G671" s="7" t="s">
        <v>1719</v>
      </c>
      <c r="H671" s="8" t="s">
        <v>80</v>
      </c>
      <c r="I671" s="5" t="s">
        <v>19</v>
      </c>
      <c r="J671" s="10" t="s">
        <v>946</v>
      </c>
      <c r="K671" s="74" t="s">
        <v>3</v>
      </c>
      <c r="L671" s="68" t="s">
        <v>1720</v>
      </c>
    </row>
    <row r="672" spans="2:12" ht="101.25" x14ac:dyDescent="0.25">
      <c r="B672" s="1">
        <v>683</v>
      </c>
      <c r="C672" s="5" t="s">
        <v>1568</v>
      </c>
      <c r="D672" s="5" t="s">
        <v>1292</v>
      </c>
      <c r="E672" s="40">
        <v>466.22</v>
      </c>
      <c r="F672" s="6">
        <v>466.22</v>
      </c>
      <c r="G672" s="7" t="s">
        <v>1719</v>
      </c>
      <c r="H672" s="8" t="s">
        <v>80</v>
      </c>
      <c r="I672" s="5" t="s">
        <v>19</v>
      </c>
      <c r="J672" s="10" t="s">
        <v>1143</v>
      </c>
      <c r="K672" s="13" t="s">
        <v>588</v>
      </c>
      <c r="L672" s="68" t="s">
        <v>1721</v>
      </c>
    </row>
    <row r="673" spans="2:12" ht="101.25" x14ac:dyDescent="0.25">
      <c r="B673" s="1">
        <v>684</v>
      </c>
      <c r="C673" s="5" t="s">
        <v>1568</v>
      </c>
      <c r="D673" s="5" t="s">
        <v>1292</v>
      </c>
      <c r="E673" s="40">
        <v>466.22</v>
      </c>
      <c r="F673" s="6">
        <v>466.22</v>
      </c>
      <c r="G673" s="7" t="s">
        <v>1719</v>
      </c>
      <c r="H673" s="8" t="s">
        <v>80</v>
      </c>
      <c r="I673" s="5" t="s">
        <v>19</v>
      </c>
      <c r="J673" s="10" t="s">
        <v>1143</v>
      </c>
      <c r="K673" s="13" t="s">
        <v>588</v>
      </c>
      <c r="L673" s="68" t="s">
        <v>1722</v>
      </c>
    </row>
    <row r="674" spans="2:12" ht="45" x14ac:dyDescent="0.25">
      <c r="B674" s="5">
        <v>685</v>
      </c>
      <c r="C674" s="5" t="s">
        <v>1569</v>
      </c>
      <c r="D674" s="5" t="s">
        <v>84</v>
      </c>
      <c r="E674" s="40">
        <v>280</v>
      </c>
      <c r="F674" s="6">
        <v>280</v>
      </c>
      <c r="G674" s="7" t="s">
        <v>1723</v>
      </c>
      <c r="H674" s="8" t="s">
        <v>80</v>
      </c>
      <c r="I674" s="5" t="s">
        <v>19</v>
      </c>
      <c r="J674" s="10" t="s">
        <v>942</v>
      </c>
      <c r="K674" s="74" t="s">
        <v>3</v>
      </c>
      <c r="L674" s="68" t="s">
        <v>1724</v>
      </c>
    </row>
    <row r="675" spans="2:12" ht="45" x14ac:dyDescent="0.25">
      <c r="B675" s="5">
        <v>686</v>
      </c>
      <c r="C675" s="5" t="s">
        <v>1570</v>
      </c>
      <c r="D675" s="5" t="s">
        <v>84</v>
      </c>
      <c r="E675" s="40">
        <v>120</v>
      </c>
      <c r="F675" s="6">
        <v>120</v>
      </c>
      <c r="G675" s="7" t="s">
        <v>1723</v>
      </c>
      <c r="H675" s="8" t="s">
        <v>80</v>
      </c>
      <c r="I675" s="5" t="s">
        <v>19</v>
      </c>
      <c r="J675" s="10" t="s">
        <v>942</v>
      </c>
      <c r="K675" s="74" t="s">
        <v>3</v>
      </c>
      <c r="L675" s="68" t="s">
        <v>1725</v>
      </c>
    </row>
    <row r="676" spans="2:12" ht="45" x14ac:dyDescent="0.25">
      <c r="B676" s="1">
        <v>687</v>
      </c>
      <c r="C676" s="5" t="s">
        <v>1571</v>
      </c>
      <c r="D676" s="5" t="s">
        <v>88</v>
      </c>
      <c r="E676" s="40">
        <v>100</v>
      </c>
      <c r="F676" s="6">
        <v>100</v>
      </c>
      <c r="G676" s="7" t="s">
        <v>1723</v>
      </c>
      <c r="H676" s="8" t="s">
        <v>80</v>
      </c>
      <c r="I676" s="5" t="s">
        <v>19</v>
      </c>
      <c r="J676" s="10" t="s">
        <v>927</v>
      </c>
      <c r="K676" s="74" t="s">
        <v>3</v>
      </c>
      <c r="L676" s="68" t="s">
        <v>1726</v>
      </c>
    </row>
    <row r="677" spans="2:12" ht="45" x14ac:dyDescent="0.25">
      <c r="B677" s="1">
        <v>688</v>
      </c>
      <c r="C677" s="5" t="s">
        <v>1572</v>
      </c>
      <c r="D677" s="5" t="s">
        <v>84</v>
      </c>
      <c r="E677" s="40" t="s">
        <v>1407</v>
      </c>
      <c r="F677" s="6">
        <v>200</v>
      </c>
      <c r="G677" s="7" t="s">
        <v>1723</v>
      </c>
      <c r="H677" s="8" t="s">
        <v>80</v>
      </c>
      <c r="I677" s="5" t="s">
        <v>19</v>
      </c>
      <c r="J677" s="10" t="s">
        <v>942</v>
      </c>
      <c r="K677" s="74" t="s">
        <v>3</v>
      </c>
      <c r="L677" s="68" t="s">
        <v>1727</v>
      </c>
    </row>
    <row r="678" spans="2:12" ht="101.25" x14ac:dyDescent="0.25">
      <c r="B678" s="5">
        <v>689</v>
      </c>
      <c r="C678" s="5" t="s">
        <v>1573</v>
      </c>
      <c r="D678" s="5" t="s">
        <v>1574</v>
      </c>
      <c r="E678" s="40">
        <v>884.16</v>
      </c>
      <c r="F678" s="6">
        <v>884.16</v>
      </c>
      <c r="G678" s="7" t="s">
        <v>1723</v>
      </c>
      <c r="H678" s="8" t="s">
        <v>80</v>
      </c>
      <c r="I678" s="5" t="s">
        <v>19</v>
      </c>
      <c r="J678" s="10" t="s">
        <v>1150</v>
      </c>
      <c r="K678" s="13" t="s">
        <v>588</v>
      </c>
      <c r="L678" s="68" t="s">
        <v>1728</v>
      </c>
    </row>
    <row r="679" spans="2:12" ht="45" x14ac:dyDescent="0.25">
      <c r="B679" s="5">
        <v>690</v>
      </c>
      <c r="C679" s="5" t="s">
        <v>454</v>
      </c>
      <c r="D679" s="5" t="s">
        <v>563</v>
      </c>
      <c r="E679" s="40" t="s">
        <v>1925</v>
      </c>
      <c r="F679" s="6">
        <v>2550</v>
      </c>
      <c r="G679" s="7" t="s">
        <v>1729</v>
      </c>
      <c r="H679" s="8" t="s">
        <v>80</v>
      </c>
      <c r="I679" s="5" t="s">
        <v>19</v>
      </c>
      <c r="J679" s="10" t="s">
        <v>943</v>
      </c>
      <c r="K679" s="13" t="s">
        <v>3</v>
      </c>
      <c r="L679" s="68" t="s">
        <v>1730</v>
      </c>
    </row>
    <row r="680" spans="2:12" ht="45" x14ac:dyDescent="0.25">
      <c r="B680" s="1">
        <v>691</v>
      </c>
      <c r="C680" s="5" t="s">
        <v>668</v>
      </c>
      <c r="D680" s="5" t="s">
        <v>88</v>
      </c>
      <c r="E680" s="40">
        <v>149.6</v>
      </c>
      <c r="F680" s="6">
        <v>150</v>
      </c>
      <c r="G680" s="7" t="s">
        <v>1729</v>
      </c>
      <c r="H680" s="8" t="s">
        <v>80</v>
      </c>
      <c r="I680" s="5" t="s">
        <v>19</v>
      </c>
      <c r="J680" s="10" t="s">
        <v>927</v>
      </c>
      <c r="K680" s="13" t="s">
        <v>3</v>
      </c>
      <c r="L680" s="68" t="s">
        <v>1731</v>
      </c>
    </row>
    <row r="681" spans="2:12" ht="45" x14ac:dyDescent="0.25">
      <c r="B681" s="1">
        <v>692</v>
      </c>
      <c r="C681" s="5" t="s">
        <v>1575</v>
      </c>
      <c r="D681" s="5" t="s">
        <v>88</v>
      </c>
      <c r="E681" s="40" t="s">
        <v>441</v>
      </c>
      <c r="F681" s="6">
        <v>120</v>
      </c>
      <c r="G681" s="7" t="s">
        <v>1729</v>
      </c>
      <c r="H681" s="8" t="s">
        <v>80</v>
      </c>
      <c r="I681" s="5" t="s">
        <v>19</v>
      </c>
      <c r="J681" s="10" t="s">
        <v>927</v>
      </c>
      <c r="K681" s="13" t="s">
        <v>3</v>
      </c>
      <c r="L681" s="68" t="s">
        <v>1732</v>
      </c>
    </row>
    <row r="682" spans="2:12" ht="45" x14ac:dyDescent="0.25">
      <c r="B682" s="5">
        <v>693</v>
      </c>
      <c r="C682" s="15" t="s">
        <v>167</v>
      </c>
      <c r="D682" s="5" t="s">
        <v>82</v>
      </c>
      <c r="E682" s="40" t="s">
        <v>1924</v>
      </c>
      <c r="F682" s="6">
        <v>2243.75</v>
      </c>
      <c r="G682" s="7" t="s">
        <v>1729</v>
      </c>
      <c r="H682" s="8" t="s">
        <v>80</v>
      </c>
      <c r="I682" s="5" t="s">
        <v>19</v>
      </c>
      <c r="J682" s="10" t="s">
        <v>944</v>
      </c>
      <c r="K682" s="13" t="s">
        <v>3</v>
      </c>
      <c r="L682" s="68" t="s">
        <v>1733</v>
      </c>
    </row>
    <row r="683" spans="2:12" ht="45" x14ac:dyDescent="0.25">
      <c r="B683" s="5">
        <v>694</v>
      </c>
      <c r="C683" s="5" t="s">
        <v>1576</v>
      </c>
      <c r="D683" s="5" t="s">
        <v>84</v>
      </c>
      <c r="E683" s="40">
        <v>510</v>
      </c>
      <c r="F683" s="6">
        <v>510</v>
      </c>
      <c r="G683" s="7" t="s">
        <v>1729</v>
      </c>
      <c r="H683" s="8" t="s">
        <v>80</v>
      </c>
      <c r="I683" s="5" t="s">
        <v>19</v>
      </c>
      <c r="J683" s="10" t="s">
        <v>942</v>
      </c>
      <c r="K683" s="13" t="s">
        <v>3</v>
      </c>
      <c r="L683" s="68" t="s">
        <v>1734</v>
      </c>
    </row>
    <row r="684" spans="2:12" ht="45" x14ac:dyDescent="0.25">
      <c r="B684" s="1">
        <v>695</v>
      </c>
      <c r="C684" s="5" t="s">
        <v>1577</v>
      </c>
      <c r="D684" s="5" t="s">
        <v>84</v>
      </c>
      <c r="E684" s="40">
        <v>594</v>
      </c>
      <c r="F684" s="6">
        <v>594</v>
      </c>
      <c r="G684" s="7" t="s">
        <v>1729</v>
      </c>
      <c r="H684" s="8" t="s">
        <v>80</v>
      </c>
      <c r="I684" s="5" t="s">
        <v>19</v>
      </c>
      <c r="J684" s="10" t="s">
        <v>942</v>
      </c>
      <c r="K684" s="13" t="s">
        <v>3</v>
      </c>
      <c r="L684" s="68" t="s">
        <v>1735</v>
      </c>
    </row>
    <row r="685" spans="2:12" ht="101.25" x14ac:dyDescent="0.25">
      <c r="B685" s="1">
        <v>696</v>
      </c>
      <c r="C685" s="5" t="s">
        <v>567</v>
      </c>
      <c r="D685" s="5" t="s">
        <v>568</v>
      </c>
      <c r="E685" s="40" t="s">
        <v>1926</v>
      </c>
      <c r="F685" s="6">
        <v>1680</v>
      </c>
      <c r="G685" s="7" t="s">
        <v>1729</v>
      </c>
      <c r="H685" s="8" t="s">
        <v>80</v>
      </c>
      <c r="I685" s="5" t="s">
        <v>19</v>
      </c>
      <c r="J685" s="10" t="s">
        <v>929</v>
      </c>
      <c r="K685" s="13" t="s">
        <v>588</v>
      </c>
      <c r="L685" s="68" t="s">
        <v>1736</v>
      </c>
    </row>
    <row r="686" spans="2:12" ht="45" x14ac:dyDescent="0.25">
      <c r="B686" s="5">
        <v>697</v>
      </c>
      <c r="C686" s="5" t="s">
        <v>102</v>
      </c>
      <c r="D686" s="5" t="s">
        <v>103</v>
      </c>
      <c r="E686" s="40" t="s">
        <v>1921</v>
      </c>
      <c r="F686" s="6">
        <v>63000</v>
      </c>
      <c r="G686" s="7" t="s">
        <v>1729</v>
      </c>
      <c r="H686" s="8" t="s">
        <v>80</v>
      </c>
      <c r="I686" s="5" t="s">
        <v>19</v>
      </c>
      <c r="J686" s="10" t="s">
        <v>946</v>
      </c>
      <c r="K686" s="13" t="s">
        <v>3</v>
      </c>
      <c r="L686" s="68" t="s">
        <v>1737</v>
      </c>
    </row>
    <row r="687" spans="2:12" ht="45" x14ac:dyDescent="0.25">
      <c r="B687" s="5">
        <v>698</v>
      </c>
      <c r="C687" s="5" t="s">
        <v>102</v>
      </c>
      <c r="D687" s="5" t="s">
        <v>103</v>
      </c>
      <c r="E687" s="40" t="s">
        <v>1919</v>
      </c>
      <c r="F687" s="6">
        <v>2211.6</v>
      </c>
      <c r="G687" s="7" t="s">
        <v>1729</v>
      </c>
      <c r="H687" s="8" t="s">
        <v>80</v>
      </c>
      <c r="I687" s="5" t="s">
        <v>19</v>
      </c>
      <c r="J687" s="10" t="s">
        <v>946</v>
      </c>
      <c r="K687" s="13" t="s">
        <v>3</v>
      </c>
      <c r="L687" s="68" t="s">
        <v>1738</v>
      </c>
    </row>
    <row r="688" spans="2:12" ht="90" x14ac:dyDescent="0.25">
      <c r="B688" s="1">
        <v>699</v>
      </c>
      <c r="C688" s="5" t="s">
        <v>312</v>
      </c>
      <c r="D688" s="5" t="s">
        <v>1578</v>
      </c>
      <c r="E688" s="40" t="s">
        <v>2114</v>
      </c>
      <c r="F688" s="6">
        <v>360</v>
      </c>
      <c r="G688" s="7" t="s">
        <v>1739</v>
      </c>
      <c r="H688" s="8" t="s">
        <v>26</v>
      </c>
      <c r="I688" s="5" t="s">
        <v>19</v>
      </c>
      <c r="J688" s="10" t="s">
        <v>35</v>
      </c>
      <c r="K688" s="13" t="s">
        <v>27</v>
      </c>
      <c r="L688" s="68" t="s">
        <v>1740</v>
      </c>
    </row>
    <row r="689" spans="2:12" ht="45" x14ac:dyDescent="0.25">
      <c r="B689" s="1">
        <v>700</v>
      </c>
      <c r="C689" s="5" t="s">
        <v>102</v>
      </c>
      <c r="D689" s="5" t="s">
        <v>103</v>
      </c>
      <c r="E689" s="40" t="s">
        <v>1920</v>
      </c>
      <c r="F689" s="6">
        <v>6825</v>
      </c>
      <c r="G689" s="7" t="s">
        <v>1739</v>
      </c>
      <c r="H689" s="8" t="s">
        <v>80</v>
      </c>
      <c r="I689" s="5" t="s">
        <v>19</v>
      </c>
      <c r="J689" s="10" t="s">
        <v>946</v>
      </c>
      <c r="K689" s="13" t="s">
        <v>3</v>
      </c>
      <c r="L689" s="68" t="s">
        <v>1741</v>
      </c>
    </row>
    <row r="690" spans="2:12" ht="45" x14ac:dyDescent="0.25">
      <c r="B690" s="5">
        <v>701</v>
      </c>
      <c r="C690" s="5" t="s">
        <v>1552</v>
      </c>
      <c r="D690" s="5" t="s">
        <v>97</v>
      </c>
      <c r="E690" s="40" t="s">
        <v>1927</v>
      </c>
      <c r="F690" s="6">
        <v>2920</v>
      </c>
      <c r="G690" s="7" t="s">
        <v>1742</v>
      </c>
      <c r="H690" s="8" t="s">
        <v>80</v>
      </c>
      <c r="I690" s="5" t="s">
        <v>19</v>
      </c>
      <c r="J690" s="10" t="s">
        <v>927</v>
      </c>
      <c r="K690" s="13" t="s">
        <v>3</v>
      </c>
      <c r="L690" s="68" t="s">
        <v>1743</v>
      </c>
    </row>
    <row r="691" spans="2:12" ht="45" x14ac:dyDescent="0.25">
      <c r="B691" s="5">
        <v>702</v>
      </c>
      <c r="C691" s="5" t="s">
        <v>454</v>
      </c>
      <c r="D691" s="5" t="s">
        <v>563</v>
      </c>
      <c r="E691" s="40" t="s">
        <v>1928</v>
      </c>
      <c r="F691" s="6">
        <v>1800</v>
      </c>
      <c r="G691" s="7" t="s">
        <v>1744</v>
      </c>
      <c r="H691" s="8" t="s">
        <v>80</v>
      </c>
      <c r="I691" s="5" t="s">
        <v>19</v>
      </c>
      <c r="J691" s="10" t="s">
        <v>943</v>
      </c>
      <c r="K691" s="13" t="s">
        <v>3</v>
      </c>
      <c r="L691" s="68" t="s">
        <v>1745</v>
      </c>
    </row>
    <row r="692" spans="2:12" ht="45" x14ac:dyDescent="0.25">
      <c r="B692" s="1">
        <v>703</v>
      </c>
      <c r="C692" s="5" t="s">
        <v>1563</v>
      </c>
      <c r="D692" s="5" t="s">
        <v>82</v>
      </c>
      <c r="E692" s="40" t="s">
        <v>1929</v>
      </c>
      <c r="F692" s="6">
        <v>1562.5</v>
      </c>
      <c r="G692" s="7" t="s">
        <v>1744</v>
      </c>
      <c r="H692" s="8" t="s">
        <v>80</v>
      </c>
      <c r="I692" s="5" t="s">
        <v>19</v>
      </c>
      <c r="J692" s="10" t="s">
        <v>944</v>
      </c>
      <c r="K692" s="13" t="s">
        <v>3</v>
      </c>
      <c r="L692" s="68" t="s">
        <v>1746</v>
      </c>
    </row>
    <row r="693" spans="2:12" ht="45" x14ac:dyDescent="0.25">
      <c r="B693" s="1">
        <v>704</v>
      </c>
      <c r="C693" s="5" t="s">
        <v>406</v>
      </c>
      <c r="D693" s="5" t="s">
        <v>88</v>
      </c>
      <c r="E693" s="40" t="s">
        <v>1912</v>
      </c>
      <c r="F693" s="6">
        <v>1116.3499999999999</v>
      </c>
      <c r="G693" s="7" t="s">
        <v>1744</v>
      </c>
      <c r="H693" s="8" t="s">
        <v>80</v>
      </c>
      <c r="I693" s="5" t="s">
        <v>19</v>
      </c>
      <c r="J693" s="10" t="s">
        <v>927</v>
      </c>
      <c r="K693" s="13" t="s">
        <v>3</v>
      </c>
      <c r="L693" s="68" t="s">
        <v>1747</v>
      </c>
    </row>
    <row r="694" spans="2:12" ht="45" x14ac:dyDescent="0.25">
      <c r="B694" s="5">
        <v>705</v>
      </c>
      <c r="C694" s="5" t="s">
        <v>458</v>
      </c>
      <c r="D694" s="5" t="s">
        <v>88</v>
      </c>
      <c r="E694" s="40">
        <v>250</v>
      </c>
      <c r="F694" s="6">
        <v>300</v>
      </c>
      <c r="G694" s="7" t="s">
        <v>1744</v>
      </c>
      <c r="H694" s="8" t="s">
        <v>80</v>
      </c>
      <c r="I694" s="5" t="s">
        <v>19</v>
      </c>
      <c r="J694" s="10" t="s">
        <v>927</v>
      </c>
      <c r="K694" s="13" t="s">
        <v>3</v>
      </c>
      <c r="L694" s="68" t="s">
        <v>1748</v>
      </c>
    </row>
    <row r="695" spans="2:12" ht="45" x14ac:dyDescent="0.25">
      <c r="B695" s="1">
        <v>707</v>
      </c>
      <c r="C695" s="5" t="s">
        <v>1579</v>
      </c>
      <c r="D695" s="5" t="s">
        <v>88</v>
      </c>
      <c r="E695" s="40">
        <v>396</v>
      </c>
      <c r="F695" s="6">
        <v>400</v>
      </c>
      <c r="G695" s="7" t="s">
        <v>1744</v>
      </c>
      <c r="H695" s="8" t="s">
        <v>80</v>
      </c>
      <c r="I695" s="5" t="s">
        <v>19</v>
      </c>
      <c r="J695" s="10" t="s">
        <v>927</v>
      </c>
      <c r="K695" s="13" t="s">
        <v>3</v>
      </c>
      <c r="L695" s="68" t="s">
        <v>1749</v>
      </c>
    </row>
    <row r="696" spans="2:12" ht="45" x14ac:dyDescent="0.25">
      <c r="B696" s="1">
        <v>708</v>
      </c>
      <c r="C696" s="5" t="s">
        <v>1580</v>
      </c>
      <c r="D696" s="5" t="s">
        <v>88</v>
      </c>
      <c r="E696" s="40">
        <v>600</v>
      </c>
      <c r="F696" s="6">
        <v>640</v>
      </c>
      <c r="G696" s="7" t="s">
        <v>1744</v>
      </c>
      <c r="H696" s="8" t="s">
        <v>80</v>
      </c>
      <c r="I696" s="5" t="s">
        <v>19</v>
      </c>
      <c r="J696" s="10" t="s">
        <v>927</v>
      </c>
      <c r="K696" s="13" t="s">
        <v>3</v>
      </c>
      <c r="L696" s="68" t="s">
        <v>1750</v>
      </c>
    </row>
    <row r="697" spans="2:12" ht="45" x14ac:dyDescent="0.25">
      <c r="B697" s="5">
        <v>709</v>
      </c>
      <c r="C697" s="5" t="s">
        <v>1581</v>
      </c>
      <c r="D697" s="5" t="s">
        <v>88</v>
      </c>
      <c r="E697" s="40">
        <v>360</v>
      </c>
      <c r="F697" s="6">
        <v>640</v>
      </c>
      <c r="G697" s="7" t="s">
        <v>1744</v>
      </c>
      <c r="H697" s="8" t="s">
        <v>80</v>
      </c>
      <c r="I697" s="5" t="s">
        <v>19</v>
      </c>
      <c r="J697" s="10" t="s">
        <v>927</v>
      </c>
      <c r="K697" s="13" t="s">
        <v>3</v>
      </c>
      <c r="L697" s="68" t="s">
        <v>1751</v>
      </c>
    </row>
    <row r="698" spans="2:12" ht="45" x14ac:dyDescent="0.25">
      <c r="B698" s="5">
        <v>710</v>
      </c>
      <c r="C698" s="5" t="s">
        <v>1582</v>
      </c>
      <c r="D698" s="5" t="s">
        <v>563</v>
      </c>
      <c r="E698" s="40">
        <v>930</v>
      </c>
      <c r="F698" s="6">
        <v>930</v>
      </c>
      <c r="G698" s="7" t="s">
        <v>1744</v>
      </c>
      <c r="H698" s="8" t="s">
        <v>80</v>
      </c>
      <c r="I698" s="5" t="s">
        <v>19</v>
      </c>
      <c r="J698" s="10" t="s">
        <v>943</v>
      </c>
      <c r="K698" s="13" t="s">
        <v>3</v>
      </c>
      <c r="L698" s="68" t="s">
        <v>1752</v>
      </c>
    </row>
    <row r="699" spans="2:12" ht="45" x14ac:dyDescent="0.25">
      <c r="B699" s="1">
        <v>711</v>
      </c>
      <c r="C699" s="5" t="s">
        <v>454</v>
      </c>
      <c r="D699" s="5" t="s">
        <v>563</v>
      </c>
      <c r="E699" s="40" t="s">
        <v>1916</v>
      </c>
      <c r="F699" s="6">
        <v>700</v>
      </c>
      <c r="G699" s="7" t="s">
        <v>1744</v>
      </c>
      <c r="H699" s="8" t="s">
        <v>80</v>
      </c>
      <c r="I699" s="5" t="s">
        <v>19</v>
      </c>
      <c r="J699" s="10" t="s">
        <v>943</v>
      </c>
      <c r="K699" s="13" t="s">
        <v>3</v>
      </c>
      <c r="L699" s="68" t="s">
        <v>1753</v>
      </c>
    </row>
    <row r="700" spans="2:12" ht="45" x14ac:dyDescent="0.25">
      <c r="B700" s="1">
        <v>712</v>
      </c>
      <c r="C700" s="5" t="s">
        <v>272</v>
      </c>
      <c r="D700" s="5" t="s">
        <v>82</v>
      </c>
      <c r="E700" s="40" t="s">
        <v>1928</v>
      </c>
      <c r="F700" s="6">
        <v>1800</v>
      </c>
      <c r="G700" s="7" t="s">
        <v>1754</v>
      </c>
      <c r="H700" s="8" t="s">
        <v>80</v>
      </c>
      <c r="I700" s="5" t="s">
        <v>19</v>
      </c>
      <c r="J700" s="10" t="s">
        <v>944</v>
      </c>
      <c r="K700" s="13" t="s">
        <v>3</v>
      </c>
      <c r="L700" s="68" t="s">
        <v>1755</v>
      </c>
    </row>
    <row r="701" spans="2:12" ht="45" x14ac:dyDescent="0.25">
      <c r="B701" s="5">
        <v>713</v>
      </c>
      <c r="C701" s="5" t="s">
        <v>272</v>
      </c>
      <c r="D701" s="5" t="s">
        <v>563</v>
      </c>
      <c r="E701" s="40" t="s">
        <v>1928</v>
      </c>
      <c r="F701" s="6">
        <v>1800</v>
      </c>
      <c r="G701" s="7" t="s">
        <v>1754</v>
      </c>
      <c r="H701" s="8" t="s">
        <v>80</v>
      </c>
      <c r="I701" s="5" t="s">
        <v>19</v>
      </c>
      <c r="J701" s="10" t="s">
        <v>943</v>
      </c>
      <c r="K701" s="13" t="s">
        <v>3</v>
      </c>
      <c r="L701" s="68" t="s">
        <v>1756</v>
      </c>
    </row>
    <row r="702" spans="2:12" ht="45" x14ac:dyDescent="0.25">
      <c r="B702" s="5">
        <v>714</v>
      </c>
      <c r="C702" s="5" t="s">
        <v>668</v>
      </c>
      <c r="D702" s="5" t="s">
        <v>88</v>
      </c>
      <c r="E702" s="40" t="s">
        <v>1936</v>
      </c>
      <c r="F702" s="6">
        <v>120</v>
      </c>
      <c r="G702" s="7" t="s">
        <v>1754</v>
      </c>
      <c r="H702" s="8" t="s">
        <v>80</v>
      </c>
      <c r="I702" s="5" t="s">
        <v>19</v>
      </c>
      <c r="J702" s="10" t="s">
        <v>927</v>
      </c>
      <c r="K702" s="13" t="s">
        <v>3</v>
      </c>
      <c r="L702" s="68" t="s">
        <v>1757</v>
      </c>
    </row>
    <row r="703" spans="2:12" ht="45" x14ac:dyDescent="0.25">
      <c r="B703" s="1">
        <v>715</v>
      </c>
      <c r="C703" s="5" t="s">
        <v>614</v>
      </c>
      <c r="D703" s="5" t="s">
        <v>88</v>
      </c>
      <c r="E703" s="40">
        <v>92</v>
      </c>
      <c r="F703" s="6">
        <v>100</v>
      </c>
      <c r="G703" s="7" t="s">
        <v>1754</v>
      </c>
      <c r="H703" s="8" t="s">
        <v>80</v>
      </c>
      <c r="I703" s="5" t="s">
        <v>19</v>
      </c>
      <c r="J703" s="10" t="s">
        <v>927</v>
      </c>
      <c r="K703" s="13" t="s">
        <v>3</v>
      </c>
      <c r="L703" s="68" t="s">
        <v>1758</v>
      </c>
    </row>
    <row r="704" spans="2:12" ht="45" x14ac:dyDescent="0.25">
      <c r="B704" s="1">
        <v>716</v>
      </c>
      <c r="C704" s="5" t="s">
        <v>838</v>
      </c>
      <c r="D704" s="5" t="s">
        <v>88</v>
      </c>
      <c r="E704" s="40">
        <v>120</v>
      </c>
      <c r="F704" s="6">
        <v>120</v>
      </c>
      <c r="G704" s="7" t="s">
        <v>1754</v>
      </c>
      <c r="H704" s="8" t="s">
        <v>80</v>
      </c>
      <c r="I704" s="5" t="s">
        <v>19</v>
      </c>
      <c r="J704" s="10" t="s">
        <v>927</v>
      </c>
      <c r="K704" s="13" t="s">
        <v>3</v>
      </c>
      <c r="L704" s="68" t="s">
        <v>1759</v>
      </c>
    </row>
    <row r="705" spans="2:12" ht="45" x14ac:dyDescent="0.25">
      <c r="B705" s="5">
        <v>717</v>
      </c>
      <c r="C705" s="5" t="s">
        <v>1583</v>
      </c>
      <c r="D705" s="5" t="s">
        <v>88</v>
      </c>
      <c r="E705" s="40">
        <v>89.9</v>
      </c>
      <c r="F705" s="6">
        <v>100</v>
      </c>
      <c r="G705" s="7" t="s">
        <v>1754</v>
      </c>
      <c r="H705" s="8" t="s">
        <v>80</v>
      </c>
      <c r="I705" s="5" t="s">
        <v>19</v>
      </c>
      <c r="J705" s="10" t="s">
        <v>927</v>
      </c>
      <c r="K705" s="13" t="s">
        <v>3</v>
      </c>
      <c r="L705" s="68" t="s">
        <v>1760</v>
      </c>
    </row>
    <row r="706" spans="2:12" ht="45" x14ac:dyDescent="0.25">
      <c r="B706" s="5">
        <v>718</v>
      </c>
      <c r="C706" s="15" t="s">
        <v>1584</v>
      </c>
      <c r="D706" s="5" t="s">
        <v>88</v>
      </c>
      <c r="E706" s="40">
        <v>100</v>
      </c>
      <c r="F706" s="6">
        <v>100</v>
      </c>
      <c r="G706" s="7" t="s">
        <v>1754</v>
      </c>
      <c r="H706" s="8" t="s">
        <v>80</v>
      </c>
      <c r="I706" s="5" t="s">
        <v>19</v>
      </c>
      <c r="J706" s="10" t="s">
        <v>927</v>
      </c>
      <c r="K706" s="13" t="s">
        <v>3</v>
      </c>
      <c r="L706" s="68" t="s">
        <v>1761</v>
      </c>
    </row>
    <row r="707" spans="2:12" ht="45" x14ac:dyDescent="0.25">
      <c r="B707" s="1">
        <v>719</v>
      </c>
      <c r="C707" s="5" t="s">
        <v>102</v>
      </c>
      <c r="D707" s="5" t="s">
        <v>103</v>
      </c>
      <c r="E707" s="40" t="s">
        <v>1962</v>
      </c>
      <c r="F707" s="6">
        <v>2537</v>
      </c>
      <c r="G707" s="7" t="s">
        <v>1754</v>
      </c>
      <c r="H707" s="8" t="s">
        <v>80</v>
      </c>
      <c r="I707" s="5" t="s">
        <v>19</v>
      </c>
      <c r="J707" s="10" t="s">
        <v>946</v>
      </c>
      <c r="K707" s="13" t="s">
        <v>3</v>
      </c>
      <c r="L707" s="68" t="s">
        <v>1762</v>
      </c>
    </row>
    <row r="708" spans="2:12" ht="45" x14ac:dyDescent="0.25">
      <c r="B708" s="1">
        <v>720</v>
      </c>
      <c r="C708" s="5" t="s">
        <v>665</v>
      </c>
      <c r="D708" s="5" t="s">
        <v>88</v>
      </c>
      <c r="E708" s="40" t="s">
        <v>1913</v>
      </c>
      <c r="F708" s="6">
        <v>2331.6799999999998</v>
      </c>
      <c r="G708" s="7" t="s">
        <v>1754</v>
      </c>
      <c r="H708" s="8" t="s">
        <v>80</v>
      </c>
      <c r="I708" s="5" t="s">
        <v>19</v>
      </c>
      <c r="J708" s="10" t="s">
        <v>927</v>
      </c>
      <c r="K708" s="13" t="s">
        <v>3</v>
      </c>
      <c r="L708" s="68" t="s">
        <v>1763</v>
      </c>
    </row>
    <row r="709" spans="2:12" ht="45" x14ac:dyDescent="0.25">
      <c r="B709" s="5">
        <v>721</v>
      </c>
      <c r="C709" s="5" t="s">
        <v>614</v>
      </c>
      <c r="D709" s="5" t="s">
        <v>88</v>
      </c>
      <c r="E709" s="40">
        <v>279</v>
      </c>
      <c r="F709" s="6">
        <v>440</v>
      </c>
      <c r="G709" s="7" t="s">
        <v>1764</v>
      </c>
      <c r="H709" s="8" t="s">
        <v>80</v>
      </c>
      <c r="I709" s="5" t="s">
        <v>19</v>
      </c>
      <c r="J709" s="10" t="s">
        <v>927</v>
      </c>
      <c r="K709" s="13" t="s">
        <v>3</v>
      </c>
      <c r="L709" s="76" t="s">
        <v>1765</v>
      </c>
    </row>
    <row r="710" spans="2:12" ht="45" x14ac:dyDescent="0.25">
      <c r="B710" s="5">
        <v>722</v>
      </c>
      <c r="C710" s="5" t="s">
        <v>1585</v>
      </c>
      <c r="D710" s="5" t="s">
        <v>84</v>
      </c>
      <c r="E710" s="40" t="s">
        <v>1948</v>
      </c>
      <c r="F710" s="6">
        <v>3600</v>
      </c>
      <c r="G710" s="7" t="s">
        <v>1764</v>
      </c>
      <c r="H710" s="8" t="s">
        <v>80</v>
      </c>
      <c r="I710" s="5" t="s">
        <v>19</v>
      </c>
      <c r="J710" s="10" t="s">
        <v>942</v>
      </c>
      <c r="K710" s="13" t="s">
        <v>3</v>
      </c>
      <c r="L710" s="68" t="s">
        <v>1766</v>
      </c>
    </row>
    <row r="711" spans="2:12" ht="45" x14ac:dyDescent="0.25">
      <c r="B711" s="1">
        <v>723</v>
      </c>
      <c r="C711" s="5" t="s">
        <v>1585</v>
      </c>
      <c r="D711" s="5" t="s">
        <v>88</v>
      </c>
      <c r="E711" s="40" t="s">
        <v>1949</v>
      </c>
      <c r="F711" s="6">
        <v>2810</v>
      </c>
      <c r="G711" s="7" t="s">
        <v>1764</v>
      </c>
      <c r="H711" s="8" t="s">
        <v>80</v>
      </c>
      <c r="I711" s="5" t="s">
        <v>19</v>
      </c>
      <c r="J711" s="10" t="s">
        <v>927</v>
      </c>
      <c r="K711" s="13" t="s">
        <v>3</v>
      </c>
      <c r="L711" s="68" t="s">
        <v>1767</v>
      </c>
    </row>
    <row r="712" spans="2:12" ht="45" x14ac:dyDescent="0.25">
      <c r="B712" s="1">
        <v>724</v>
      </c>
      <c r="C712" s="5" t="s">
        <v>396</v>
      </c>
      <c r="D712" s="5" t="s">
        <v>82</v>
      </c>
      <c r="E712" s="40" t="s">
        <v>1914</v>
      </c>
      <c r="F712" s="6">
        <v>2082.5</v>
      </c>
      <c r="G712" s="7" t="s">
        <v>1764</v>
      </c>
      <c r="H712" s="8" t="s">
        <v>80</v>
      </c>
      <c r="I712" s="5" t="s">
        <v>19</v>
      </c>
      <c r="J712" s="10" t="s">
        <v>944</v>
      </c>
      <c r="K712" s="13" t="s">
        <v>3</v>
      </c>
      <c r="L712" s="68" t="s">
        <v>1768</v>
      </c>
    </row>
    <row r="713" spans="2:12" ht="45" x14ac:dyDescent="0.25">
      <c r="B713" s="5">
        <v>725</v>
      </c>
      <c r="C713" s="5" t="s">
        <v>454</v>
      </c>
      <c r="D713" s="5" t="s">
        <v>563</v>
      </c>
      <c r="E713" s="40" t="s">
        <v>1915</v>
      </c>
      <c r="F713" s="6">
        <v>2060</v>
      </c>
      <c r="G713" s="7" t="s">
        <v>1764</v>
      </c>
      <c r="H713" s="8" t="s">
        <v>80</v>
      </c>
      <c r="I713" s="5" t="s">
        <v>19</v>
      </c>
      <c r="J713" s="10" t="s">
        <v>943</v>
      </c>
      <c r="K713" s="13" t="s">
        <v>3</v>
      </c>
      <c r="L713" s="68" t="s">
        <v>1769</v>
      </c>
    </row>
    <row r="714" spans="2:12" ht="45" x14ac:dyDescent="0.25">
      <c r="B714" s="5">
        <v>726</v>
      </c>
      <c r="C714" s="5" t="s">
        <v>1586</v>
      </c>
      <c r="D714" s="5" t="s">
        <v>100</v>
      </c>
      <c r="E714" s="40" t="s">
        <v>1933</v>
      </c>
      <c r="F714" s="6">
        <v>4800</v>
      </c>
      <c r="G714" s="7" t="s">
        <v>1764</v>
      </c>
      <c r="H714" s="8" t="s">
        <v>80</v>
      </c>
      <c r="I714" s="5" t="s">
        <v>19</v>
      </c>
      <c r="J714" s="10" t="s">
        <v>929</v>
      </c>
      <c r="K714" s="13" t="s">
        <v>3</v>
      </c>
      <c r="L714" s="68" t="s">
        <v>1770</v>
      </c>
    </row>
    <row r="715" spans="2:12" ht="45" x14ac:dyDescent="0.25">
      <c r="B715" s="1">
        <v>727</v>
      </c>
      <c r="C715" s="15" t="s">
        <v>1587</v>
      </c>
      <c r="D715" s="15" t="s">
        <v>866</v>
      </c>
      <c r="E715" s="40" t="s">
        <v>1903</v>
      </c>
      <c r="F715" s="69">
        <v>18.5</v>
      </c>
      <c r="G715" s="70" t="s">
        <v>1764</v>
      </c>
      <c r="H715" s="71" t="s">
        <v>80</v>
      </c>
      <c r="I715" s="15" t="s">
        <v>19</v>
      </c>
      <c r="J715" s="72" t="s">
        <v>933</v>
      </c>
      <c r="K715" s="15" t="s">
        <v>10</v>
      </c>
      <c r="L715" s="68" t="s">
        <v>1771</v>
      </c>
    </row>
    <row r="716" spans="2:12" ht="45" x14ac:dyDescent="0.25">
      <c r="B716" s="1">
        <v>728</v>
      </c>
      <c r="C716" s="15" t="s">
        <v>102</v>
      </c>
      <c r="D716" s="15" t="s">
        <v>103</v>
      </c>
      <c r="E716" s="40" t="s">
        <v>1931</v>
      </c>
      <c r="F716" s="69">
        <v>12280</v>
      </c>
      <c r="G716" s="70" t="s">
        <v>1764</v>
      </c>
      <c r="H716" s="71" t="s">
        <v>80</v>
      </c>
      <c r="I716" s="15" t="s">
        <v>19</v>
      </c>
      <c r="J716" s="72" t="s">
        <v>946</v>
      </c>
      <c r="K716" s="13" t="s">
        <v>3</v>
      </c>
      <c r="L716" s="68" t="s">
        <v>1772</v>
      </c>
    </row>
    <row r="717" spans="2:12" ht="45" x14ac:dyDescent="0.25">
      <c r="B717" s="5">
        <v>729</v>
      </c>
      <c r="C717" s="15" t="s">
        <v>647</v>
      </c>
      <c r="D717" s="15" t="s">
        <v>103</v>
      </c>
      <c r="E717" s="40" t="s">
        <v>1932</v>
      </c>
      <c r="F717" s="69">
        <v>3830</v>
      </c>
      <c r="G717" s="70" t="s">
        <v>1764</v>
      </c>
      <c r="H717" s="71" t="s">
        <v>80</v>
      </c>
      <c r="I717" s="15" t="s">
        <v>19</v>
      </c>
      <c r="J717" s="72" t="s">
        <v>946</v>
      </c>
      <c r="K717" s="13" t="s">
        <v>3</v>
      </c>
      <c r="L717" s="68" t="s">
        <v>1773</v>
      </c>
    </row>
    <row r="718" spans="2:12" ht="45" x14ac:dyDescent="0.25">
      <c r="B718" s="5">
        <v>730</v>
      </c>
      <c r="C718" s="15" t="s">
        <v>259</v>
      </c>
      <c r="D718" s="15" t="s">
        <v>82</v>
      </c>
      <c r="E718" s="40">
        <v>437.5</v>
      </c>
      <c r="F718" s="69">
        <v>437.5</v>
      </c>
      <c r="G718" s="70" t="s">
        <v>1774</v>
      </c>
      <c r="H718" s="71" t="s">
        <v>80</v>
      </c>
      <c r="I718" s="15" t="s">
        <v>19</v>
      </c>
      <c r="J718" s="72" t="s">
        <v>944</v>
      </c>
      <c r="K718" s="15" t="s">
        <v>3</v>
      </c>
      <c r="L718" s="68" t="s">
        <v>1775</v>
      </c>
    </row>
    <row r="719" spans="2:12" ht="45" x14ac:dyDescent="0.25">
      <c r="B719" s="1">
        <v>731</v>
      </c>
      <c r="C719" s="15" t="s">
        <v>1058</v>
      </c>
      <c r="D719" s="15" t="s">
        <v>563</v>
      </c>
      <c r="E719" s="40" t="s">
        <v>1916</v>
      </c>
      <c r="F719" s="69">
        <v>700</v>
      </c>
      <c r="G719" s="70" t="s">
        <v>1774</v>
      </c>
      <c r="H719" s="71" t="s">
        <v>80</v>
      </c>
      <c r="I719" s="15" t="s">
        <v>19</v>
      </c>
      <c r="J719" s="72" t="s">
        <v>943</v>
      </c>
      <c r="K719" s="15" t="s">
        <v>3</v>
      </c>
      <c r="L719" s="68" t="s">
        <v>1776</v>
      </c>
    </row>
    <row r="720" spans="2:12" ht="45" x14ac:dyDescent="0.25">
      <c r="B720" s="1">
        <v>732</v>
      </c>
      <c r="C720" s="15" t="s">
        <v>1280</v>
      </c>
      <c r="D720" s="15" t="s">
        <v>84</v>
      </c>
      <c r="E720" s="59" t="s">
        <v>1946</v>
      </c>
      <c r="F720" s="69">
        <v>1012.2</v>
      </c>
      <c r="G720" s="70" t="s">
        <v>1774</v>
      </c>
      <c r="H720" s="71" t="s">
        <v>80</v>
      </c>
      <c r="I720" s="15" t="s">
        <v>19</v>
      </c>
      <c r="J720" s="72" t="s">
        <v>942</v>
      </c>
      <c r="K720" s="15" t="s">
        <v>3</v>
      </c>
      <c r="L720" s="68" t="s">
        <v>1777</v>
      </c>
    </row>
    <row r="721" spans="2:12" ht="45" x14ac:dyDescent="0.25">
      <c r="B721" s="5">
        <v>733</v>
      </c>
      <c r="C721" s="15" t="s">
        <v>1280</v>
      </c>
      <c r="D721" s="15" t="s">
        <v>88</v>
      </c>
      <c r="E721" s="40">
        <v>377</v>
      </c>
      <c r="F721" s="69">
        <v>680</v>
      </c>
      <c r="G721" s="70" t="s">
        <v>1774</v>
      </c>
      <c r="H721" s="71" t="s">
        <v>80</v>
      </c>
      <c r="I721" s="15" t="s">
        <v>19</v>
      </c>
      <c r="J721" s="72" t="s">
        <v>927</v>
      </c>
      <c r="K721" s="15" t="s">
        <v>3</v>
      </c>
      <c r="L721" s="68" t="s">
        <v>1778</v>
      </c>
    </row>
    <row r="722" spans="2:12" ht="45" x14ac:dyDescent="0.25">
      <c r="B722" s="5">
        <v>734</v>
      </c>
      <c r="C722" s="15" t="s">
        <v>1582</v>
      </c>
      <c r="D722" s="15" t="s">
        <v>563</v>
      </c>
      <c r="E722" s="40" t="s">
        <v>1986</v>
      </c>
      <c r="F722" s="69">
        <v>590</v>
      </c>
      <c r="G722" s="70" t="s">
        <v>1774</v>
      </c>
      <c r="H722" s="71" t="s">
        <v>80</v>
      </c>
      <c r="I722" s="15" t="s">
        <v>19</v>
      </c>
      <c r="J722" s="72" t="s">
        <v>943</v>
      </c>
      <c r="K722" s="15" t="s">
        <v>3</v>
      </c>
      <c r="L722" s="68" t="s">
        <v>1779</v>
      </c>
    </row>
    <row r="723" spans="2:12" ht="45" x14ac:dyDescent="0.25">
      <c r="B723" s="1">
        <v>736</v>
      </c>
      <c r="C723" s="15" t="s">
        <v>1588</v>
      </c>
      <c r="D723" s="15" t="s">
        <v>294</v>
      </c>
      <c r="E723" s="40" t="s">
        <v>965</v>
      </c>
      <c r="F723" s="69">
        <v>3000</v>
      </c>
      <c r="G723" s="70" t="s">
        <v>1780</v>
      </c>
      <c r="H723" s="71" t="s">
        <v>80</v>
      </c>
      <c r="I723" s="15" t="s">
        <v>19</v>
      </c>
      <c r="J723" s="72" t="s">
        <v>927</v>
      </c>
      <c r="K723" s="11" t="s">
        <v>3</v>
      </c>
      <c r="L723" s="68" t="s">
        <v>1781</v>
      </c>
    </row>
    <row r="724" spans="2:12" ht="45" x14ac:dyDescent="0.25">
      <c r="B724" s="5">
        <v>737</v>
      </c>
      <c r="C724" s="15" t="s">
        <v>1044</v>
      </c>
      <c r="D724" s="15" t="s">
        <v>88</v>
      </c>
      <c r="E724" s="40" t="s">
        <v>1935</v>
      </c>
      <c r="F724" s="69">
        <v>100</v>
      </c>
      <c r="G724" s="70" t="s">
        <v>1780</v>
      </c>
      <c r="H724" s="71" t="s">
        <v>80</v>
      </c>
      <c r="I724" s="15" t="s">
        <v>19</v>
      </c>
      <c r="J724" s="72" t="s">
        <v>927</v>
      </c>
      <c r="K724" s="11" t="s">
        <v>3</v>
      </c>
      <c r="L724" s="68" t="s">
        <v>1782</v>
      </c>
    </row>
    <row r="725" spans="2:12" ht="45" x14ac:dyDescent="0.25">
      <c r="B725" s="5">
        <v>738</v>
      </c>
      <c r="C725" s="15" t="s">
        <v>1589</v>
      </c>
      <c r="D725" s="15" t="s">
        <v>84</v>
      </c>
      <c r="E725" s="40" t="s">
        <v>1938</v>
      </c>
      <c r="F725" s="69">
        <v>1700</v>
      </c>
      <c r="G725" s="70" t="s">
        <v>1783</v>
      </c>
      <c r="H725" s="71" t="s">
        <v>80</v>
      </c>
      <c r="I725" s="15" t="s">
        <v>19</v>
      </c>
      <c r="J725" s="72" t="s">
        <v>942</v>
      </c>
      <c r="K725" s="11" t="s">
        <v>3</v>
      </c>
      <c r="L725" s="68" t="s">
        <v>1784</v>
      </c>
    </row>
    <row r="726" spans="2:12" ht="45" x14ac:dyDescent="0.25">
      <c r="B726" s="1">
        <v>739</v>
      </c>
      <c r="C726" s="15" t="s">
        <v>454</v>
      </c>
      <c r="D726" s="15" t="s">
        <v>563</v>
      </c>
      <c r="E726" s="40" t="s">
        <v>1937</v>
      </c>
      <c r="F726" s="69">
        <v>2500</v>
      </c>
      <c r="G726" s="70" t="s">
        <v>1783</v>
      </c>
      <c r="H726" s="71" t="s">
        <v>80</v>
      </c>
      <c r="I726" s="15" t="s">
        <v>19</v>
      </c>
      <c r="J726" s="72" t="s">
        <v>943</v>
      </c>
      <c r="K726" s="11" t="s">
        <v>3</v>
      </c>
      <c r="L726" s="68" t="s">
        <v>1785</v>
      </c>
    </row>
    <row r="727" spans="2:12" ht="45" x14ac:dyDescent="0.25">
      <c r="B727" s="1">
        <v>740</v>
      </c>
      <c r="C727" s="15" t="s">
        <v>1590</v>
      </c>
      <c r="D727" s="15" t="s">
        <v>84</v>
      </c>
      <c r="E727" s="40" t="s">
        <v>1964</v>
      </c>
      <c r="F727" s="69">
        <v>3324</v>
      </c>
      <c r="G727" s="70" t="s">
        <v>1783</v>
      </c>
      <c r="H727" s="71" t="s">
        <v>80</v>
      </c>
      <c r="I727" s="15" t="s">
        <v>19</v>
      </c>
      <c r="J727" s="72" t="s">
        <v>942</v>
      </c>
      <c r="K727" s="11" t="s">
        <v>3</v>
      </c>
      <c r="L727" s="68" t="s">
        <v>1786</v>
      </c>
    </row>
    <row r="728" spans="2:12" ht="45" x14ac:dyDescent="0.25">
      <c r="B728" s="5">
        <v>741</v>
      </c>
      <c r="C728" s="5" t="s">
        <v>1591</v>
      </c>
      <c r="D728" s="5" t="s">
        <v>1592</v>
      </c>
      <c r="E728" s="40" t="s">
        <v>1987</v>
      </c>
      <c r="F728" s="6">
        <v>245.5</v>
      </c>
      <c r="G728" s="70" t="s">
        <v>1783</v>
      </c>
      <c r="H728" s="71" t="s">
        <v>80</v>
      </c>
      <c r="I728" s="15" t="s">
        <v>19</v>
      </c>
      <c r="J728" s="10" t="s">
        <v>1787</v>
      </c>
      <c r="K728" s="13" t="s">
        <v>10</v>
      </c>
      <c r="L728" s="68" t="s">
        <v>1788</v>
      </c>
    </row>
    <row r="729" spans="2:12" ht="45" x14ac:dyDescent="0.25">
      <c r="B729" s="5">
        <v>742</v>
      </c>
      <c r="C729" s="5" t="s">
        <v>1593</v>
      </c>
      <c r="D729" s="5" t="s">
        <v>1594</v>
      </c>
      <c r="E729" s="40" t="s">
        <v>1870</v>
      </c>
      <c r="F729" s="6">
        <v>375</v>
      </c>
      <c r="G729" s="70" t="s">
        <v>1783</v>
      </c>
      <c r="H729" s="71" t="s">
        <v>80</v>
      </c>
      <c r="I729" s="15" t="s">
        <v>19</v>
      </c>
      <c r="J729" s="10" t="s">
        <v>1789</v>
      </c>
      <c r="K729" s="13" t="s">
        <v>10</v>
      </c>
      <c r="L729" s="68" t="s">
        <v>1790</v>
      </c>
    </row>
    <row r="730" spans="2:12" x14ac:dyDescent="0.25">
      <c r="B730" s="1">
        <v>743</v>
      </c>
      <c r="C730" s="5" t="s">
        <v>1595</v>
      </c>
      <c r="D730" s="5" t="s">
        <v>1596</v>
      </c>
      <c r="E730" s="38">
        <v>55555</v>
      </c>
      <c r="F730" s="6">
        <v>5555</v>
      </c>
      <c r="G730" s="70" t="s">
        <v>1791</v>
      </c>
      <c r="H730" s="71" t="s">
        <v>80</v>
      </c>
      <c r="I730" s="5" t="s">
        <v>9</v>
      </c>
      <c r="J730" s="10" t="s">
        <v>1792</v>
      </c>
      <c r="K730" s="5" t="s">
        <v>1793</v>
      </c>
      <c r="L730" s="68"/>
    </row>
    <row r="731" spans="2:12" ht="45" x14ac:dyDescent="0.25">
      <c r="B731" s="1">
        <v>744</v>
      </c>
      <c r="C731" s="5" t="s">
        <v>646</v>
      </c>
      <c r="D731" s="5" t="s">
        <v>103</v>
      </c>
      <c r="E731" s="40" t="s">
        <v>1944</v>
      </c>
      <c r="F731" s="6">
        <v>4115</v>
      </c>
      <c r="G731" s="70" t="s">
        <v>1791</v>
      </c>
      <c r="H731" s="71" t="s">
        <v>80</v>
      </c>
      <c r="I731" s="15" t="s">
        <v>19</v>
      </c>
      <c r="J731" s="10" t="s">
        <v>946</v>
      </c>
      <c r="K731" s="11" t="s">
        <v>3</v>
      </c>
      <c r="L731" s="68" t="s">
        <v>1794</v>
      </c>
    </row>
    <row r="732" spans="2:12" ht="45" x14ac:dyDescent="0.25">
      <c r="B732" s="5">
        <v>745</v>
      </c>
      <c r="C732" s="5" t="s">
        <v>852</v>
      </c>
      <c r="D732" s="5" t="s">
        <v>88</v>
      </c>
      <c r="E732" s="40" t="s">
        <v>1934</v>
      </c>
      <c r="F732" s="6">
        <v>100</v>
      </c>
      <c r="G732" s="70" t="s">
        <v>1791</v>
      </c>
      <c r="H732" s="71" t="s">
        <v>80</v>
      </c>
      <c r="I732" s="15" t="s">
        <v>19</v>
      </c>
      <c r="J732" s="10" t="s">
        <v>927</v>
      </c>
      <c r="K732" s="11" t="s">
        <v>3</v>
      </c>
      <c r="L732" s="68" t="s">
        <v>1795</v>
      </c>
    </row>
    <row r="733" spans="2:12" ht="90" x14ac:dyDescent="0.25">
      <c r="B733" s="5">
        <v>746</v>
      </c>
      <c r="C733" s="15" t="s">
        <v>1597</v>
      </c>
      <c r="D733" s="15" t="s">
        <v>1598</v>
      </c>
      <c r="E733" s="40">
        <f>3000+3000</f>
        <v>6000</v>
      </c>
      <c r="F733" s="69">
        <v>12000</v>
      </c>
      <c r="G733" s="70" t="s">
        <v>1791</v>
      </c>
      <c r="H733" s="71" t="s">
        <v>80</v>
      </c>
      <c r="I733" s="15" t="s">
        <v>19</v>
      </c>
      <c r="J733" s="72" t="s">
        <v>1796</v>
      </c>
      <c r="K733" s="13" t="s">
        <v>1797</v>
      </c>
      <c r="L733" s="68" t="s">
        <v>1798</v>
      </c>
    </row>
    <row r="734" spans="2:12" x14ac:dyDescent="0.25">
      <c r="B734" s="1">
        <v>747</v>
      </c>
      <c r="C734" s="15" t="s">
        <v>1599</v>
      </c>
      <c r="D734" s="15" t="s">
        <v>1600</v>
      </c>
      <c r="E734" s="38">
        <f>27984.12+1210.35</f>
        <v>29194.469999999998</v>
      </c>
      <c r="F734" s="69">
        <v>39930</v>
      </c>
      <c r="G734" s="70" t="s">
        <v>1799</v>
      </c>
      <c r="H734" s="71" t="s">
        <v>26</v>
      </c>
      <c r="I734" s="15" t="s">
        <v>11</v>
      </c>
      <c r="J734" s="72" t="s">
        <v>1392</v>
      </c>
      <c r="K734" s="15" t="s">
        <v>1800</v>
      </c>
      <c r="L734" s="68"/>
    </row>
    <row r="735" spans="2:12" ht="22.5" x14ac:dyDescent="0.25">
      <c r="B735" s="1">
        <v>748</v>
      </c>
      <c r="C735" s="15" t="s">
        <v>1601</v>
      </c>
      <c r="D735" s="15" t="s">
        <v>1602</v>
      </c>
      <c r="E735" s="38">
        <v>18750</v>
      </c>
      <c r="F735" s="69">
        <v>18750</v>
      </c>
      <c r="G735" s="70" t="s">
        <v>1799</v>
      </c>
      <c r="H735" s="71" t="s">
        <v>80</v>
      </c>
      <c r="I735" s="15" t="s">
        <v>9</v>
      </c>
      <c r="J735" s="72" t="s">
        <v>1395</v>
      </c>
      <c r="K735" s="15" t="s">
        <v>1801</v>
      </c>
      <c r="L735" s="68"/>
    </row>
    <row r="736" spans="2:12" ht="22.5" x14ac:dyDescent="0.25">
      <c r="B736" s="5">
        <v>749</v>
      </c>
      <c r="C736" s="15" t="s">
        <v>1601</v>
      </c>
      <c r="D736" s="15" t="s">
        <v>1603</v>
      </c>
      <c r="E736" s="38">
        <v>18860</v>
      </c>
      <c r="F736" s="69">
        <v>18860</v>
      </c>
      <c r="G736" s="70" t="s">
        <v>1799</v>
      </c>
      <c r="H736" s="71" t="s">
        <v>80</v>
      </c>
      <c r="I736" s="15" t="s">
        <v>9</v>
      </c>
      <c r="J736" s="72" t="s">
        <v>1395</v>
      </c>
      <c r="K736" s="15" t="s">
        <v>1802</v>
      </c>
      <c r="L736" s="68"/>
    </row>
    <row r="737" spans="2:12" ht="45" x14ac:dyDescent="0.25">
      <c r="B737" s="5">
        <v>750</v>
      </c>
      <c r="C737" s="15" t="s">
        <v>1604</v>
      </c>
      <c r="D737" s="15" t="s">
        <v>563</v>
      </c>
      <c r="E737" s="40" t="s">
        <v>1939</v>
      </c>
      <c r="F737" s="69">
        <v>4369.47</v>
      </c>
      <c r="G737" s="70" t="s">
        <v>1799</v>
      </c>
      <c r="H737" s="71" t="s">
        <v>80</v>
      </c>
      <c r="I737" s="15" t="s">
        <v>19</v>
      </c>
      <c r="J737" s="72" t="s">
        <v>943</v>
      </c>
      <c r="K737" s="11" t="s">
        <v>3</v>
      </c>
      <c r="L737" s="68" t="s">
        <v>1803</v>
      </c>
    </row>
    <row r="738" spans="2:12" ht="45" x14ac:dyDescent="0.25">
      <c r="B738" s="1">
        <v>751</v>
      </c>
      <c r="C738" s="15" t="s">
        <v>1582</v>
      </c>
      <c r="D738" s="15" t="s">
        <v>563</v>
      </c>
      <c r="E738" s="40" t="s">
        <v>1985</v>
      </c>
      <c r="F738" s="69">
        <v>800</v>
      </c>
      <c r="G738" s="70" t="s">
        <v>1804</v>
      </c>
      <c r="H738" s="71" t="s">
        <v>80</v>
      </c>
      <c r="I738" s="15" t="s">
        <v>19</v>
      </c>
      <c r="J738" s="72" t="s">
        <v>943</v>
      </c>
      <c r="K738" s="11" t="s">
        <v>3</v>
      </c>
      <c r="L738" s="68" t="s">
        <v>1805</v>
      </c>
    </row>
    <row r="739" spans="2:12" ht="45" x14ac:dyDescent="0.25">
      <c r="B739" s="1">
        <v>752</v>
      </c>
      <c r="C739" s="15" t="s">
        <v>1605</v>
      </c>
      <c r="D739" s="15" t="s">
        <v>88</v>
      </c>
      <c r="E739" s="40" t="s">
        <v>1941</v>
      </c>
      <c r="F739" s="69">
        <v>1440</v>
      </c>
      <c r="G739" s="70" t="s">
        <v>1804</v>
      </c>
      <c r="H739" s="71" t="s">
        <v>80</v>
      </c>
      <c r="I739" s="15" t="s">
        <v>19</v>
      </c>
      <c r="J739" s="72" t="s">
        <v>927</v>
      </c>
      <c r="K739" s="11" t="s">
        <v>3</v>
      </c>
      <c r="L739" s="68" t="s">
        <v>1940</v>
      </c>
    </row>
    <row r="740" spans="2:12" ht="45" x14ac:dyDescent="0.25">
      <c r="B740" s="5">
        <v>753</v>
      </c>
      <c r="C740" s="15" t="s">
        <v>1605</v>
      </c>
      <c r="D740" s="15" t="s">
        <v>84</v>
      </c>
      <c r="E740" s="40" t="s">
        <v>958</v>
      </c>
      <c r="F740" s="69">
        <v>1200</v>
      </c>
      <c r="G740" s="70" t="s">
        <v>1804</v>
      </c>
      <c r="H740" s="71" t="s">
        <v>80</v>
      </c>
      <c r="I740" s="15" t="s">
        <v>19</v>
      </c>
      <c r="J740" s="15">
        <v>55100000</v>
      </c>
      <c r="K740" s="11" t="s">
        <v>3</v>
      </c>
      <c r="L740" s="68" t="s">
        <v>1806</v>
      </c>
    </row>
    <row r="741" spans="2:12" ht="45" x14ac:dyDescent="0.25">
      <c r="B741" s="5">
        <v>754</v>
      </c>
      <c r="C741" s="15" t="s">
        <v>1606</v>
      </c>
      <c r="D741" s="15" t="s">
        <v>88</v>
      </c>
      <c r="E741" s="40">
        <v>784.7</v>
      </c>
      <c r="F741" s="69">
        <v>1640</v>
      </c>
      <c r="G741" s="70" t="s">
        <v>1804</v>
      </c>
      <c r="H741" s="71" t="s">
        <v>80</v>
      </c>
      <c r="I741" s="15" t="s">
        <v>19</v>
      </c>
      <c r="J741" s="72" t="s">
        <v>927</v>
      </c>
      <c r="K741" s="11" t="s">
        <v>3</v>
      </c>
      <c r="L741" s="68" t="s">
        <v>1807</v>
      </c>
    </row>
    <row r="742" spans="2:12" ht="45" x14ac:dyDescent="0.25">
      <c r="B742" s="1">
        <v>755</v>
      </c>
      <c r="C742" s="15" t="s">
        <v>395</v>
      </c>
      <c r="D742" s="15" t="s">
        <v>563</v>
      </c>
      <c r="E742" s="40" t="s">
        <v>1942</v>
      </c>
      <c r="F742" s="69">
        <v>2100</v>
      </c>
      <c r="G742" s="70" t="s">
        <v>1804</v>
      </c>
      <c r="H742" s="71" t="s">
        <v>80</v>
      </c>
      <c r="I742" s="15" t="s">
        <v>19</v>
      </c>
      <c r="J742" s="72" t="s">
        <v>943</v>
      </c>
      <c r="K742" s="11" t="s">
        <v>3</v>
      </c>
      <c r="L742" s="68" t="s">
        <v>1808</v>
      </c>
    </row>
    <row r="743" spans="2:12" ht="45" x14ac:dyDescent="0.25">
      <c r="B743" s="1">
        <v>756</v>
      </c>
      <c r="C743" s="15" t="s">
        <v>102</v>
      </c>
      <c r="D743" s="15" t="s">
        <v>103</v>
      </c>
      <c r="E743" s="40" t="s">
        <v>1513</v>
      </c>
      <c r="F743" s="69">
        <v>2780</v>
      </c>
      <c r="G743" s="70" t="s">
        <v>1804</v>
      </c>
      <c r="H743" s="71" t="s">
        <v>80</v>
      </c>
      <c r="I743" s="15" t="s">
        <v>19</v>
      </c>
      <c r="J743" s="72" t="s">
        <v>946</v>
      </c>
      <c r="K743" s="11" t="s">
        <v>3</v>
      </c>
      <c r="L743" s="68" t="s">
        <v>1809</v>
      </c>
    </row>
    <row r="744" spans="2:12" ht="45" x14ac:dyDescent="0.25">
      <c r="B744" s="5">
        <v>757</v>
      </c>
      <c r="C744" s="15" t="s">
        <v>1607</v>
      </c>
      <c r="D744" s="15" t="s">
        <v>84</v>
      </c>
      <c r="E744" s="40" t="s">
        <v>1957</v>
      </c>
      <c r="F744" s="69">
        <v>611.54999999999995</v>
      </c>
      <c r="G744" s="70" t="s">
        <v>1804</v>
      </c>
      <c r="H744" s="71" t="s">
        <v>80</v>
      </c>
      <c r="I744" s="15" t="s">
        <v>19</v>
      </c>
      <c r="J744" s="72" t="s">
        <v>942</v>
      </c>
      <c r="K744" s="11" t="s">
        <v>3</v>
      </c>
      <c r="L744" s="68" t="s">
        <v>1810</v>
      </c>
    </row>
    <row r="745" spans="2:12" ht="45" x14ac:dyDescent="0.25">
      <c r="B745" s="5">
        <v>758</v>
      </c>
      <c r="C745" s="15" t="s">
        <v>1607</v>
      </c>
      <c r="D745" s="15" t="s">
        <v>88</v>
      </c>
      <c r="E745" s="40" t="s">
        <v>1959</v>
      </c>
      <c r="F745" s="69">
        <v>220</v>
      </c>
      <c r="G745" s="70" t="s">
        <v>1804</v>
      </c>
      <c r="H745" s="71" t="s">
        <v>80</v>
      </c>
      <c r="I745" s="15" t="s">
        <v>19</v>
      </c>
      <c r="J745" s="72" t="s">
        <v>927</v>
      </c>
      <c r="K745" s="11" t="s">
        <v>3</v>
      </c>
      <c r="L745" s="68" t="s">
        <v>1811</v>
      </c>
    </row>
    <row r="746" spans="2:12" ht="45" x14ac:dyDescent="0.25">
      <c r="B746" s="1">
        <v>759</v>
      </c>
      <c r="C746" s="15" t="s">
        <v>1305</v>
      </c>
      <c r="D746" s="15" t="s">
        <v>84</v>
      </c>
      <c r="E746" s="40" t="s">
        <v>1945</v>
      </c>
      <c r="F746" s="69">
        <v>340</v>
      </c>
      <c r="G746" s="70" t="s">
        <v>1812</v>
      </c>
      <c r="H746" s="71" t="s">
        <v>80</v>
      </c>
      <c r="I746" s="15" t="s">
        <v>19</v>
      </c>
      <c r="J746" s="72" t="s">
        <v>942</v>
      </c>
      <c r="K746" s="11" t="s">
        <v>3</v>
      </c>
      <c r="L746" s="68" t="s">
        <v>1813</v>
      </c>
    </row>
    <row r="747" spans="2:12" ht="45" x14ac:dyDescent="0.25">
      <c r="B747" s="1">
        <v>760</v>
      </c>
      <c r="C747" s="15" t="s">
        <v>1058</v>
      </c>
      <c r="D747" s="15" t="s">
        <v>563</v>
      </c>
      <c r="E747" s="40">
        <v>700</v>
      </c>
      <c r="F747" s="69">
        <v>700</v>
      </c>
      <c r="G747" s="70" t="s">
        <v>1812</v>
      </c>
      <c r="H747" s="71" t="s">
        <v>80</v>
      </c>
      <c r="I747" s="15" t="s">
        <v>19</v>
      </c>
      <c r="J747" s="72" t="s">
        <v>943</v>
      </c>
      <c r="K747" s="11" t="s">
        <v>3</v>
      </c>
      <c r="L747" s="68" t="s">
        <v>1814</v>
      </c>
    </row>
    <row r="748" spans="2:12" ht="45" x14ac:dyDescent="0.25">
      <c r="B748" s="5">
        <v>761</v>
      </c>
      <c r="C748" s="15" t="s">
        <v>647</v>
      </c>
      <c r="D748" s="15" t="s">
        <v>103</v>
      </c>
      <c r="E748" s="40" t="s">
        <v>1950</v>
      </c>
      <c r="F748" s="69">
        <v>1855.7</v>
      </c>
      <c r="G748" s="70" t="s">
        <v>1812</v>
      </c>
      <c r="H748" s="71" t="s">
        <v>80</v>
      </c>
      <c r="I748" s="15" t="s">
        <v>19</v>
      </c>
      <c r="J748" s="72" t="s">
        <v>946</v>
      </c>
      <c r="K748" s="11" t="s">
        <v>3</v>
      </c>
      <c r="L748" s="68" t="s">
        <v>1815</v>
      </c>
    </row>
    <row r="749" spans="2:12" ht="45" x14ac:dyDescent="0.25">
      <c r="B749" s="5">
        <v>762</v>
      </c>
      <c r="C749" s="15" t="s">
        <v>1608</v>
      </c>
      <c r="D749" s="15" t="s">
        <v>1609</v>
      </c>
      <c r="E749" s="40">
        <f>5000+35625</f>
        <v>40625</v>
      </c>
      <c r="F749" s="69">
        <v>62500</v>
      </c>
      <c r="G749" s="70" t="s">
        <v>1816</v>
      </c>
      <c r="H749" s="71" t="s">
        <v>80</v>
      </c>
      <c r="I749" s="15" t="s">
        <v>19</v>
      </c>
      <c r="J749" s="72" t="s">
        <v>1817</v>
      </c>
      <c r="K749" s="11" t="s">
        <v>3</v>
      </c>
      <c r="L749" s="68" t="s">
        <v>1818</v>
      </c>
    </row>
    <row r="750" spans="2:12" ht="90" x14ac:dyDescent="0.25">
      <c r="B750" s="1">
        <v>764</v>
      </c>
      <c r="C750" s="15" t="s">
        <v>844</v>
      </c>
      <c r="D750" s="15" t="s">
        <v>860</v>
      </c>
      <c r="E750" s="40">
        <f>19543.8+2171.53+13801.36</f>
        <v>35516.69</v>
      </c>
      <c r="F750" s="69">
        <v>32928</v>
      </c>
      <c r="G750" s="70" t="s">
        <v>1816</v>
      </c>
      <c r="H750" s="26" t="s">
        <v>80</v>
      </c>
      <c r="I750" s="15" t="s">
        <v>19</v>
      </c>
      <c r="J750" s="2" t="s">
        <v>923</v>
      </c>
      <c r="K750" s="15" t="s">
        <v>588</v>
      </c>
      <c r="L750" s="68" t="s">
        <v>1819</v>
      </c>
    </row>
    <row r="751" spans="2:12" ht="90" x14ac:dyDescent="0.25">
      <c r="B751" s="5">
        <v>765</v>
      </c>
      <c r="C751" s="15" t="s">
        <v>1610</v>
      </c>
      <c r="D751" s="15" t="s">
        <v>1611</v>
      </c>
      <c r="E751" s="40" t="s">
        <v>498</v>
      </c>
      <c r="F751" s="69">
        <v>2000</v>
      </c>
      <c r="G751" s="70" t="s">
        <v>1816</v>
      </c>
      <c r="H751" s="71" t="s">
        <v>80</v>
      </c>
      <c r="I751" s="15" t="s">
        <v>19</v>
      </c>
      <c r="J751" s="72" t="s">
        <v>929</v>
      </c>
      <c r="K751" s="15" t="s">
        <v>281</v>
      </c>
      <c r="L751" s="68" t="s">
        <v>1820</v>
      </c>
    </row>
    <row r="752" spans="2:12" ht="45" x14ac:dyDescent="0.25">
      <c r="B752" s="1">
        <v>767</v>
      </c>
      <c r="C752" s="15" t="s">
        <v>395</v>
      </c>
      <c r="D752" s="15" t="s">
        <v>563</v>
      </c>
      <c r="E752" s="40" t="s">
        <v>1947</v>
      </c>
      <c r="F752" s="69">
        <v>690</v>
      </c>
      <c r="G752" s="70" t="s">
        <v>1821</v>
      </c>
      <c r="H752" s="71" t="s">
        <v>80</v>
      </c>
      <c r="I752" s="15" t="s">
        <v>19</v>
      </c>
      <c r="J752" s="72" t="s">
        <v>943</v>
      </c>
      <c r="K752" s="15" t="s">
        <v>3</v>
      </c>
      <c r="L752" s="68" t="s">
        <v>1822</v>
      </c>
    </row>
    <row r="753" spans="2:12" ht="45" x14ac:dyDescent="0.25">
      <c r="B753" s="1">
        <v>768</v>
      </c>
      <c r="C753" s="15" t="s">
        <v>849</v>
      </c>
      <c r="D753" s="15" t="s">
        <v>88</v>
      </c>
      <c r="E753" s="40" t="s">
        <v>1943</v>
      </c>
      <c r="F753" s="69">
        <v>240</v>
      </c>
      <c r="G753" s="70" t="s">
        <v>1821</v>
      </c>
      <c r="H753" s="71" t="s">
        <v>80</v>
      </c>
      <c r="I753" s="15" t="s">
        <v>19</v>
      </c>
      <c r="J753" s="72" t="s">
        <v>927</v>
      </c>
      <c r="K753" s="15" t="s">
        <v>3</v>
      </c>
      <c r="L753" s="68" t="s">
        <v>1823</v>
      </c>
    </row>
    <row r="754" spans="2:12" ht="45" x14ac:dyDescent="0.25">
      <c r="B754" s="5">
        <v>769</v>
      </c>
      <c r="C754" s="15" t="s">
        <v>102</v>
      </c>
      <c r="D754" s="15" t="s">
        <v>103</v>
      </c>
      <c r="E754" s="40" t="s">
        <v>1953</v>
      </c>
      <c r="F754" s="69">
        <v>7600</v>
      </c>
      <c r="G754" s="70" t="s">
        <v>1821</v>
      </c>
      <c r="H754" s="71" t="s">
        <v>80</v>
      </c>
      <c r="I754" s="15" t="s">
        <v>19</v>
      </c>
      <c r="J754" s="72" t="s">
        <v>946</v>
      </c>
      <c r="K754" s="15" t="s">
        <v>3</v>
      </c>
      <c r="L754" s="68" t="s">
        <v>1824</v>
      </c>
    </row>
    <row r="755" spans="2:12" ht="45" x14ac:dyDescent="0.25">
      <c r="B755" s="37">
        <v>770</v>
      </c>
      <c r="C755" s="15" t="s">
        <v>1612</v>
      </c>
      <c r="D755" s="15" t="s">
        <v>88</v>
      </c>
      <c r="E755" s="40" t="s">
        <v>2151</v>
      </c>
      <c r="F755" s="69">
        <v>800</v>
      </c>
      <c r="G755" s="70" t="s">
        <v>1825</v>
      </c>
      <c r="H755" s="71" t="s">
        <v>80</v>
      </c>
      <c r="I755" s="15" t="s">
        <v>19</v>
      </c>
      <c r="J755" s="72" t="s">
        <v>927</v>
      </c>
      <c r="K755" s="15" t="s">
        <v>3</v>
      </c>
      <c r="L755" s="68" t="s">
        <v>1826</v>
      </c>
    </row>
    <row r="756" spans="2:12" ht="45" x14ac:dyDescent="0.25">
      <c r="B756" s="1">
        <v>771</v>
      </c>
      <c r="C756" s="15" t="s">
        <v>1612</v>
      </c>
      <c r="D756" s="15" t="s">
        <v>84</v>
      </c>
      <c r="E756" s="40" t="s">
        <v>2150</v>
      </c>
      <c r="F756" s="69">
        <v>2234.65</v>
      </c>
      <c r="G756" s="70" t="s">
        <v>1825</v>
      </c>
      <c r="H756" s="71" t="s">
        <v>80</v>
      </c>
      <c r="I756" s="15" t="s">
        <v>19</v>
      </c>
      <c r="J756" s="72" t="s">
        <v>942</v>
      </c>
      <c r="K756" s="15" t="s">
        <v>3</v>
      </c>
      <c r="L756" s="68" t="s">
        <v>1827</v>
      </c>
    </row>
    <row r="757" spans="2:12" ht="45" x14ac:dyDescent="0.25">
      <c r="B757" s="1">
        <v>5</v>
      </c>
      <c r="C757" s="15" t="s">
        <v>217</v>
      </c>
      <c r="D757" s="15" t="s">
        <v>84</v>
      </c>
      <c r="E757" s="40" t="s">
        <v>1952</v>
      </c>
      <c r="F757" s="69">
        <v>273.69</v>
      </c>
      <c r="G757" s="70" t="s">
        <v>1828</v>
      </c>
      <c r="H757" s="71" t="s">
        <v>80</v>
      </c>
      <c r="I757" s="15" t="s">
        <v>19</v>
      </c>
      <c r="J757" s="72" t="s">
        <v>942</v>
      </c>
      <c r="K757" s="15" t="s">
        <v>3</v>
      </c>
      <c r="L757" s="68" t="s">
        <v>1829</v>
      </c>
    </row>
    <row r="758" spans="2:12" ht="101.25" x14ac:dyDescent="0.25">
      <c r="B758" s="1">
        <v>772</v>
      </c>
      <c r="C758" s="15" t="s">
        <v>1613</v>
      </c>
      <c r="D758" s="15" t="s">
        <v>1614</v>
      </c>
      <c r="E758" s="40">
        <v>202.5</v>
      </c>
      <c r="F758" s="69">
        <v>202.5</v>
      </c>
      <c r="G758" s="70" t="s">
        <v>1828</v>
      </c>
      <c r="H758" s="71" t="s">
        <v>80</v>
      </c>
      <c r="I758" s="15" t="s">
        <v>19</v>
      </c>
      <c r="J758" s="72" t="s">
        <v>951</v>
      </c>
      <c r="K758" s="13" t="s">
        <v>588</v>
      </c>
      <c r="L758" s="68" t="s">
        <v>1830</v>
      </c>
    </row>
    <row r="759" spans="2:12" ht="33.75" x14ac:dyDescent="0.25">
      <c r="B759" s="5">
        <v>773</v>
      </c>
      <c r="C759" s="15" t="s">
        <v>1615</v>
      </c>
      <c r="D759" s="15" t="s">
        <v>1616</v>
      </c>
      <c r="E759" s="38">
        <v>6695</v>
      </c>
      <c r="F759" s="69">
        <v>13390</v>
      </c>
      <c r="G759" s="70" t="s">
        <v>1828</v>
      </c>
      <c r="H759" s="71" t="s">
        <v>80</v>
      </c>
      <c r="I759" s="15" t="s">
        <v>9</v>
      </c>
      <c r="J759" s="72" t="s">
        <v>1831</v>
      </c>
      <c r="K759" s="15" t="s">
        <v>1832</v>
      </c>
      <c r="L759" s="68"/>
    </row>
    <row r="760" spans="2:12" ht="90" x14ac:dyDescent="0.25">
      <c r="B760" s="5">
        <v>774</v>
      </c>
      <c r="C760" s="15" t="s">
        <v>1617</v>
      </c>
      <c r="D760" s="15" t="s">
        <v>1618</v>
      </c>
      <c r="E760" s="40">
        <f>35400+162840</f>
        <v>198240</v>
      </c>
      <c r="F760" s="69">
        <v>221840</v>
      </c>
      <c r="G760" s="70" t="s">
        <v>1828</v>
      </c>
      <c r="H760" s="71" t="s">
        <v>80</v>
      </c>
      <c r="I760" s="15" t="s">
        <v>19</v>
      </c>
      <c r="J760" s="72" t="s">
        <v>1833</v>
      </c>
      <c r="K760" s="13" t="s">
        <v>1797</v>
      </c>
      <c r="L760" s="68" t="s">
        <v>1834</v>
      </c>
    </row>
    <row r="761" spans="2:12" ht="33.75" x14ac:dyDescent="0.25">
      <c r="B761" s="1">
        <v>775</v>
      </c>
      <c r="C761" s="15" t="s">
        <v>1301</v>
      </c>
      <c r="D761" s="15" t="s">
        <v>1619</v>
      </c>
      <c r="E761" s="38">
        <f>28240+66426</f>
        <v>94666</v>
      </c>
      <c r="F761" s="69">
        <v>94666</v>
      </c>
      <c r="G761" s="70" t="s">
        <v>1835</v>
      </c>
      <c r="H761" s="71" t="s">
        <v>80</v>
      </c>
      <c r="I761" s="15" t="s">
        <v>11</v>
      </c>
      <c r="J761" s="72" t="s">
        <v>1392</v>
      </c>
      <c r="K761" s="15" t="s">
        <v>1836</v>
      </c>
      <c r="L761" s="68"/>
    </row>
    <row r="762" spans="2:12" ht="45" x14ac:dyDescent="0.25">
      <c r="B762" s="1">
        <v>776</v>
      </c>
      <c r="C762" s="15" t="s">
        <v>1620</v>
      </c>
      <c r="D762" s="15" t="s">
        <v>1621</v>
      </c>
      <c r="E762" s="40">
        <v>288</v>
      </c>
      <c r="F762" s="69">
        <v>288</v>
      </c>
      <c r="G762" s="70" t="s">
        <v>1837</v>
      </c>
      <c r="H762" s="71" t="s">
        <v>80</v>
      </c>
      <c r="I762" s="15" t="s">
        <v>1838</v>
      </c>
      <c r="J762" s="72" t="s">
        <v>951</v>
      </c>
      <c r="K762" s="13" t="s">
        <v>10</v>
      </c>
      <c r="L762" s="68" t="s">
        <v>1839</v>
      </c>
    </row>
    <row r="763" spans="2:12" ht="45" x14ac:dyDescent="0.25">
      <c r="B763" s="5">
        <v>777</v>
      </c>
      <c r="C763" s="15" t="s">
        <v>1572</v>
      </c>
      <c r="D763" s="15" t="s">
        <v>88</v>
      </c>
      <c r="E763" s="40">
        <v>659</v>
      </c>
      <c r="F763" s="69">
        <v>800</v>
      </c>
      <c r="G763" s="70" t="s">
        <v>1837</v>
      </c>
      <c r="H763" s="71" t="s">
        <v>80</v>
      </c>
      <c r="I763" s="15" t="s">
        <v>1838</v>
      </c>
      <c r="J763" s="72" t="s">
        <v>927</v>
      </c>
      <c r="K763" s="11" t="s">
        <v>3</v>
      </c>
      <c r="L763" s="68" t="s">
        <v>1840</v>
      </c>
    </row>
    <row r="764" spans="2:12" ht="45" x14ac:dyDescent="0.25">
      <c r="B764" s="5">
        <v>778</v>
      </c>
      <c r="C764" s="15" t="s">
        <v>1622</v>
      </c>
      <c r="D764" s="15" t="s">
        <v>88</v>
      </c>
      <c r="E764" s="40" t="s">
        <v>1958</v>
      </c>
      <c r="F764" s="69">
        <v>1300</v>
      </c>
      <c r="G764" s="70" t="s">
        <v>1837</v>
      </c>
      <c r="H764" s="71" t="s">
        <v>80</v>
      </c>
      <c r="I764" s="15" t="s">
        <v>1838</v>
      </c>
      <c r="J764" s="72" t="s">
        <v>927</v>
      </c>
      <c r="K764" s="11" t="s">
        <v>3</v>
      </c>
      <c r="L764" s="68" t="s">
        <v>1841</v>
      </c>
    </row>
    <row r="765" spans="2:12" ht="45" x14ac:dyDescent="0.25">
      <c r="B765" s="1">
        <v>779</v>
      </c>
      <c r="C765" s="15" t="s">
        <v>1623</v>
      </c>
      <c r="D765" s="15" t="s">
        <v>84</v>
      </c>
      <c r="E765" s="40" t="s">
        <v>1956</v>
      </c>
      <c r="F765" s="69">
        <v>1400</v>
      </c>
      <c r="G765" s="70" t="s">
        <v>1837</v>
      </c>
      <c r="H765" s="71" t="s">
        <v>80</v>
      </c>
      <c r="I765" s="15" t="s">
        <v>1838</v>
      </c>
      <c r="J765" s="72" t="s">
        <v>942</v>
      </c>
      <c r="K765" s="11" t="s">
        <v>3</v>
      </c>
      <c r="L765" s="68" t="s">
        <v>1842</v>
      </c>
    </row>
    <row r="766" spans="2:12" ht="45" x14ac:dyDescent="0.25">
      <c r="B766" s="1">
        <v>780</v>
      </c>
      <c r="C766" s="15" t="s">
        <v>1623</v>
      </c>
      <c r="D766" s="15" t="s">
        <v>88</v>
      </c>
      <c r="E766" s="40" t="s">
        <v>1960</v>
      </c>
      <c r="F766" s="69">
        <v>3800</v>
      </c>
      <c r="G766" s="70" t="s">
        <v>1837</v>
      </c>
      <c r="H766" s="71" t="s">
        <v>80</v>
      </c>
      <c r="I766" s="15" t="s">
        <v>1838</v>
      </c>
      <c r="J766" s="72" t="s">
        <v>927</v>
      </c>
      <c r="K766" s="11" t="s">
        <v>3</v>
      </c>
      <c r="L766" s="68" t="s">
        <v>1843</v>
      </c>
    </row>
    <row r="767" spans="2:12" ht="45" x14ac:dyDescent="0.25">
      <c r="B767" s="5">
        <v>781</v>
      </c>
      <c r="C767" s="15" t="s">
        <v>454</v>
      </c>
      <c r="D767" s="15" t="s">
        <v>563</v>
      </c>
      <c r="E767" s="40" t="s">
        <v>1954</v>
      </c>
      <c r="F767" s="69">
        <v>4000</v>
      </c>
      <c r="G767" s="70" t="s">
        <v>1837</v>
      </c>
      <c r="H767" s="71" t="s">
        <v>80</v>
      </c>
      <c r="I767" s="15" t="s">
        <v>1838</v>
      </c>
      <c r="J767" s="72" t="s">
        <v>943</v>
      </c>
      <c r="K767" s="11" t="s">
        <v>3</v>
      </c>
      <c r="L767" s="68" t="s">
        <v>1844</v>
      </c>
    </row>
    <row r="768" spans="2:12" ht="45" x14ac:dyDescent="0.25">
      <c r="B768" s="5">
        <v>6</v>
      </c>
      <c r="C768" s="15" t="s">
        <v>1612</v>
      </c>
      <c r="D768" s="15" t="s">
        <v>84</v>
      </c>
      <c r="E768" s="40" t="s">
        <v>1955</v>
      </c>
      <c r="F768" s="69">
        <v>203.85</v>
      </c>
      <c r="G768" s="70" t="s">
        <v>1837</v>
      </c>
      <c r="H768" s="71" t="s">
        <v>80</v>
      </c>
      <c r="I768" s="15" t="s">
        <v>19</v>
      </c>
      <c r="J768" s="72" t="s">
        <v>942</v>
      </c>
      <c r="K768" s="11" t="s">
        <v>3</v>
      </c>
      <c r="L768" s="68" t="s">
        <v>1846</v>
      </c>
    </row>
    <row r="769" spans="2:12" ht="45.75" x14ac:dyDescent="0.25">
      <c r="B769" s="1">
        <v>783</v>
      </c>
      <c r="C769" s="15" t="s">
        <v>1624</v>
      </c>
      <c r="D769" s="15" t="s">
        <v>1625</v>
      </c>
      <c r="E769" s="40" t="s">
        <v>1951</v>
      </c>
      <c r="F769" s="69">
        <v>100.8</v>
      </c>
      <c r="G769" s="70" t="s">
        <v>1847</v>
      </c>
      <c r="H769" s="71" t="s">
        <v>80</v>
      </c>
      <c r="I769" s="15" t="s">
        <v>19</v>
      </c>
      <c r="J769" s="72" t="s">
        <v>1848</v>
      </c>
      <c r="K769" s="11" t="s">
        <v>7</v>
      </c>
      <c r="L769" s="68" t="s">
        <v>1849</v>
      </c>
    </row>
    <row r="770" spans="2:12" ht="45" x14ac:dyDescent="0.25">
      <c r="B770" s="1">
        <v>784</v>
      </c>
      <c r="C770" s="15" t="s">
        <v>144</v>
      </c>
      <c r="D770" s="15" t="s">
        <v>88</v>
      </c>
      <c r="E770" s="40" t="s">
        <v>2154</v>
      </c>
      <c r="F770" s="69">
        <v>2400</v>
      </c>
      <c r="G770" s="70" t="s">
        <v>1847</v>
      </c>
      <c r="H770" s="71" t="s">
        <v>80</v>
      </c>
      <c r="I770" s="15" t="s">
        <v>19</v>
      </c>
      <c r="J770" s="72" t="s">
        <v>927</v>
      </c>
      <c r="K770" s="11" t="s">
        <v>3</v>
      </c>
      <c r="L770" s="68" t="s">
        <v>1850</v>
      </c>
    </row>
    <row r="771" spans="2:12" ht="45" x14ac:dyDescent="0.25">
      <c r="B771" s="5">
        <v>785</v>
      </c>
      <c r="C771" s="15" t="s">
        <v>144</v>
      </c>
      <c r="D771" s="15" t="s">
        <v>294</v>
      </c>
      <c r="E771" s="40" t="s">
        <v>1496</v>
      </c>
      <c r="F771" s="69">
        <v>660</v>
      </c>
      <c r="G771" s="70" t="s">
        <v>1847</v>
      </c>
      <c r="H771" s="71" t="s">
        <v>80</v>
      </c>
      <c r="I771" s="15" t="s">
        <v>19</v>
      </c>
      <c r="J771" s="72" t="s">
        <v>927</v>
      </c>
      <c r="K771" s="11" t="s">
        <v>3</v>
      </c>
      <c r="L771" s="68" t="s">
        <v>1851</v>
      </c>
    </row>
    <row r="772" spans="2:12" ht="45" x14ac:dyDescent="0.25">
      <c r="B772" s="5">
        <v>786</v>
      </c>
      <c r="C772" s="15" t="s">
        <v>102</v>
      </c>
      <c r="D772" s="15" t="s">
        <v>103</v>
      </c>
      <c r="E772" s="40" t="s">
        <v>1968</v>
      </c>
      <c r="F772" s="69">
        <v>8930.2999999999993</v>
      </c>
      <c r="G772" s="70" t="s">
        <v>1852</v>
      </c>
      <c r="H772" s="71" t="s">
        <v>80</v>
      </c>
      <c r="I772" s="15" t="s">
        <v>1853</v>
      </c>
      <c r="J772" s="72" t="s">
        <v>946</v>
      </c>
      <c r="K772" s="11" t="s">
        <v>3</v>
      </c>
      <c r="L772" s="68" t="s">
        <v>1967</v>
      </c>
    </row>
    <row r="773" spans="2:12" ht="90" x14ac:dyDescent="0.25">
      <c r="B773" s="1">
        <v>787</v>
      </c>
      <c r="C773" s="15" t="s">
        <v>1626</v>
      </c>
      <c r="D773" s="15" t="s">
        <v>1627</v>
      </c>
      <c r="E773" s="40" t="s">
        <v>2102</v>
      </c>
      <c r="F773" s="69">
        <v>17696</v>
      </c>
      <c r="G773" s="70" t="s">
        <v>1854</v>
      </c>
      <c r="H773" s="71" t="s">
        <v>80</v>
      </c>
      <c r="I773" s="15" t="s">
        <v>19</v>
      </c>
      <c r="J773" s="72" t="s">
        <v>1141</v>
      </c>
      <c r="K773" s="15" t="s">
        <v>281</v>
      </c>
      <c r="L773" s="68" t="s">
        <v>1855</v>
      </c>
    </row>
    <row r="774" spans="2:12" ht="45" x14ac:dyDescent="0.25">
      <c r="B774" s="1">
        <v>788</v>
      </c>
      <c r="C774" s="15" t="s">
        <v>1563</v>
      </c>
      <c r="D774" s="15" t="s">
        <v>82</v>
      </c>
      <c r="E774" s="40" t="s">
        <v>1984</v>
      </c>
      <c r="F774" s="69">
        <v>2317.5</v>
      </c>
      <c r="G774" s="70" t="s">
        <v>1854</v>
      </c>
      <c r="H774" s="71" t="s">
        <v>80</v>
      </c>
      <c r="I774" s="15" t="s">
        <v>19</v>
      </c>
      <c r="J774" s="72" t="s">
        <v>944</v>
      </c>
      <c r="K774" s="15" t="s">
        <v>3</v>
      </c>
      <c r="L774" s="68" t="s">
        <v>1969</v>
      </c>
    </row>
    <row r="775" spans="2:12" ht="45" x14ac:dyDescent="0.25">
      <c r="B775" s="5">
        <v>789</v>
      </c>
      <c r="C775" s="15" t="s">
        <v>1628</v>
      </c>
      <c r="D775" s="15" t="s">
        <v>563</v>
      </c>
      <c r="E775" s="40" t="s">
        <v>2101</v>
      </c>
      <c r="F775" s="69">
        <v>2145</v>
      </c>
      <c r="G775" s="70" t="s">
        <v>1854</v>
      </c>
      <c r="H775" s="71" t="s">
        <v>80</v>
      </c>
      <c r="I775" s="15" t="s">
        <v>19</v>
      </c>
      <c r="J775" s="72" t="s">
        <v>943</v>
      </c>
      <c r="K775" s="15" t="s">
        <v>3</v>
      </c>
      <c r="L775" s="68" t="s">
        <v>1970</v>
      </c>
    </row>
    <row r="776" spans="2:12" ht="45" x14ac:dyDescent="0.25">
      <c r="B776" s="5">
        <v>790</v>
      </c>
      <c r="C776" s="15" t="s">
        <v>102</v>
      </c>
      <c r="D776" s="15" t="s">
        <v>103</v>
      </c>
      <c r="E776" s="40">
        <v>757</v>
      </c>
      <c r="F776" s="69">
        <v>757</v>
      </c>
      <c r="G776" s="70" t="s">
        <v>1854</v>
      </c>
      <c r="H776" s="71" t="s">
        <v>80</v>
      </c>
      <c r="I776" s="15" t="s">
        <v>19</v>
      </c>
      <c r="J776" s="72" t="s">
        <v>946</v>
      </c>
      <c r="K776" s="15" t="s">
        <v>3</v>
      </c>
      <c r="L776" s="68" t="s">
        <v>1971</v>
      </c>
    </row>
    <row r="777" spans="2:12" ht="45" x14ac:dyDescent="0.25">
      <c r="B777" s="1">
        <v>791</v>
      </c>
      <c r="C777" s="15" t="s">
        <v>102</v>
      </c>
      <c r="D777" s="15" t="s">
        <v>103</v>
      </c>
      <c r="E777" s="40">
        <v>757</v>
      </c>
      <c r="F777" s="69">
        <v>757</v>
      </c>
      <c r="G777" s="70" t="s">
        <v>1854</v>
      </c>
      <c r="H777" s="71" t="s">
        <v>80</v>
      </c>
      <c r="I777" s="15" t="s">
        <v>19</v>
      </c>
      <c r="J777" s="72" t="s">
        <v>946</v>
      </c>
      <c r="K777" s="15" t="s">
        <v>3</v>
      </c>
      <c r="L777" s="68" t="s">
        <v>1972</v>
      </c>
    </row>
    <row r="778" spans="2:12" ht="45" x14ac:dyDescent="0.25">
      <c r="B778" s="1">
        <v>792</v>
      </c>
      <c r="C778" s="15" t="s">
        <v>454</v>
      </c>
      <c r="D778" s="15" t="s">
        <v>563</v>
      </c>
      <c r="E778" s="40" t="s">
        <v>2107</v>
      </c>
      <c r="F778" s="69">
        <v>5500</v>
      </c>
      <c r="G778" s="70" t="s">
        <v>1854</v>
      </c>
      <c r="H778" s="71" t="s">
        <v>80</v>
      </c>
      <c r="I778" s="15" t="s">
        <v>19</v>
      </c>
      <c r="J778" s="72" t="s">
        <v>943</v>
      </c>
      <c r="K778" s="15" t="s">
        <v>3</v>
      </c>
      <c r="L778" s="68" t="s">
        <v>1974</v>
      </c>
    </row>
    <row r="779" spans="2:12" ht="45" x14ac:dyDescent="0.25">
      <c r="B779" s="5">
        <v>793</v>
      </c>
      <c r="C779" s="15" t="s">
        <v>1973</v>
      </c>
      <c r="D779" s="15" t="s">
        <v>84</v>
      </c>
      <c r="E779" s="40" t="s">
        <v>2100</v>
      </c>
      <c r="F779" s="69">
        <v>550.03</v>
      </c>
      <c r="G779" s="70" t="s">
        <v>1854</v>
      </c>
      <c r="H779" s="71" t="s">
        <v>80</v>
      </c>
      <c r="I779" s="15" t="s">
        <v>19</v>
      </c>
      <c r="J779" s="72" t="s">
        <v>942</v>
      </c>
      <c r="K779" s="15" t="s">
        <v>3</v>
      </c>
      <c r="L779" s="68" t="s">
        <v>1975</v>
      </c>
    </row>
    <row r="780" spans="2:12" ht="45" x14ac:dyDescent="0.25">
      <c r="B780" s="5">
        <v>794</v>
      </c>
      <c r="C780" s="15" t="s">
        <v>1973</v>
      </c>
      <c r="D780" s="15" t="s">
        <v>84</v>
      </c>
      <c r="E780" s="40" t="s">
        <v>2099</v>
      </c>
      <c r="F780" s="69">
        <v>8151.51</v>
      </c>
      <c r="G780" s="70" t="s">
        <v>1854</v>
      </c>
      <c r="H780" s="71" t="s">
        <v>80</v>
      </c>
      <c r="I780" s="15" t="s">
        <v>19</v>
      </c>
      <c r="J780" s="72" t="s">
        <v>942</v>
      </c>
      <c r="K780" s="15" t="s">
        <v>3</v>
      </c>
      <c r="L780" s="68" t="s">
        <v>1976</v>
      </c>
    </row>
    <row r="781" spans="2:12" ht="45" x14ac:dyDescent="0.25">
      <c r="B781" s="5">
        <v>7</v>
      </c>
      <c r="C781" s="15" t="s">
        <v>1309</v>
      </c>
      <c r="D781" s="15" t="s">
        <v>88</v>
      </c>
      <c r="E781" s="40">
        <v>932.2</v>
      </c>
      <c r="F781" s="69">
        <v>932.2</v>
      </c>
      <c r="G781" s="70" t="s">
        <v>1854</v>
      </c>
      <c r="H781" s="71" t="s">
        <v>80</v>
      </c>
      <c r="I781" s="15" t="s">
        <v>19</v>
      </c>
      <c r="J781" s="72" t="s">
        <v>927</v>
      </c>
      <c r="K781" s="15" t="s">
        <v>3</v>
      </c>
      <c r="L781" s="68" t="s">
        <v>1961</v>
      </c>
    </row>
    <row r="782" spans="2:12" ht="45" x14ac:dyDescent="0.25">
      <c r="B782" s="1">
        <v>795</v>
      </c>
      <c r="C782" s="15" t="s">
        <v>1058</v>
      </c>
      <c r="D782" s="15" t="s">
        <v>563</v>
      </c>
      <c r="E782" s="40" t="s">
        <v>1982</v>
      </c>
      <c r="F782" s="69">
        <v>1450</v>
      </c>
      <c r="G782" s="70" t="s">
        <v>1856</v>
      </c>
      <c r="H782" s="71" t="s">
        <v>80</v>
      </c>
      <c r="I782" s="15" t="s">
        <v>19</v>
      </c>
      <c r="J782" s="72" t="s">
        <v>943</v>
      </c>
      <c r="K782" s="15" t="s">
        <v>3</v>
      </c>
      <c r="L782" s="68" t="s">
        <v>1977</v>
      </c>
    </row>
    <row r="783" spans="2:12" ht="45" x14ac:dyDescent="0.25">
      <c r="B783" s="1">
        <v>796</v>
      </c>
      <c r="C783" s="15" t="s">
        <v>1629</v>
      </c>
      <c r="D783" s="15" t="s">
        <v>82</v>
      </c>
      <c r="E783" s="40" t="s">
        <v>1983</v>
      </c>
      <c r="F783" s="69">
        <v>1535.7</v>
      </c>
      <c r="G783" s="70" t="s">
        <v>1856</v>
      </c>
      <c r="H783" s="71" t="s">
        <v>80</v>
      </c>
      <c r="I783" s="15" t="s">
        <v>19</v>
      </c>
      <c r="J783" s="72" t="s">
        <v>944</v>
      </c>
      <c r="K783" s="15" t="s">
        <v>3</v>
      </c>
      <c r="L783" s="68" t="s">
        <v>1978</v>
      </c>
    </row>
    <row r="784" spans="2:12" ht="45" x14ac:dyDescent="0.25">
      <c r="B784" s="5">
        <v>797</v>
      </c>
      <c r="C784" s="15" t="s">
        <v>852</v>
      </c>
      <c r="D784" s="15" t="s">
        <v>88</v>
      </c>
      <c r="E784" s="40">
        <v>157.85</v>
      </c>
      <c r="F784" s="69">
        <v>160</v>
      </c>
      <c r="G784" s="70" t="s">
        <v>1856</v>
      </c>
      <c r="H784" s="71" t="s">
        <v>80</v>
      </c>
      <c r="I784" s="15" t="s">
        <v>19</v>
      </c>
      <c r="J784" s="72" t="s">
        <v>927</v>
      </c>
      <c r="K784" s="15" t="s">
        <v>3</v>
      </c>
      <c r="L784" s="68" t="s">
        <v>1979</v>
      </c>
    </row>
    <row r="785" spans="2:12" ht="45" x14ac:dyDescent="0.25">
      <c r="B785" s="5">
        <v>798</v>
      </c>
      <c r="C785" s="15" t="s">
        <v>668</v>
      </c>
      <c r="D785" s="15" t="s">
        <v>88</v>
      </c>
      <c r="E785" s="40" t="s">
        <v>1981</v>
      </c>
      <c r="F785" s="69">
        <v>200</v>
      </c>
      <c r="G785" s="70" t="s">
        <v>1856</v>
      </c>
      <c r="H785" s="71" t="s">
        <v>80</v>
      </c>
      <c r="I785" s="15" t="s">
        <v>19</v>
      </c>
      <c r="J785" s="72" t="s">
        <v>927</v>
      </c>
      <c r="K785" s="15" t="s">
        <v>3</v>
      </c>
      <c r="L785" s="68" t="s">
        <v>1980</v>
      </c>
    </row>
    <row r="786" spans="2:12" ht="90" x14ac:dyDescent="0.25">
      <c r="B786" s="1">
        <v>799</v>
      </c>
      <c r="C786" s="15" t="s">
        <v>1630</v>
      </c>
      <c r="D786" s="15" t="s">
        <v>100</v>
      </c>
      <c r="E786" s="40">
        <f>12853.26+2282.14</f>
        <v>15135.4</v>
      </c>
      <c r="F786" s="69">
        <v>14920</v>
      </c>
      <c r="G786" s="70" t="s">
        <v>1856</v>
      </c>
      <c r="H786" s="71" t="s">
        <v>80</v>
      </c>
      <c r="I786" s="15" t="s">
        <v>19</v>
      </c>
      <c r="J786" s="72" t="s">
        <v>929</v>
      </c>
      <c r="K786" s="15" t="s">
        <v>281</v>
      </c>
      <c r="L786" s="68" t="s">
        <v>2112</v>
      </c>
    </row>
    <row r="787" spans="2:12" ht="45" x14ac:dyDescent="0.25">
      <c r="B787" s="5">
        <v>801</v>
      </c>
      <c r="C787" s="15" t="s">
        <v>668</v>
      </c>
      <c r="D787" s="15" t="s">
        <v>88</v>
      </c>
      <c r="E787" s="40">
        <v>117.7</v>
      </c>
      <c r="F787" s="69">
        <v>120</v>
      </c>
      <c r="G787" s="70" t="s">
        <v>2019</v>
      </c>
      <c r="H787" s="71" t="s">
        <v>80</v>
      </c>
      <c r="I787" s="15" t="s">
        <v>19</v>
      </c>
      <c r="J787" s="72" t="s">
        <v>927</v>
      </c>
      <c r="K787" s="15" t="s">
        <v>3</v>
      </c>
      <c r="L787" s="68" t="s">
        <v>2020</v>
      </c>
    </row>
    <row r="788" spans="2:12" ht="45" x14ac:dyDescent="0.25">
      <c r="B788" s="5">
        <v>802</v>
      </c>
      <c r="C788" s="15" t="s">
        <v>960</v>
      </c>
      <c r="D788" s="15" t="s">
        <v>84</v>
      </c>
      <c r="E788" s="40">
        <v>879.5</v>
      </c>
      <c r="F788" s="69">
        <v>879.5</v>
      </c>
      <c r="G788" s="70" t="s">
        <v>2019</v>
      </c>
      <c r="H788" s="71" t="s">
        <v>80</v>
      </c>
      <c r="I788" s="15" t="s">
        <v>19</v>
      </c>
      <c r="J788" s="72" t="s">
        <v>942</v>
      </c>
      <c r="K788" s="15" t="s">
        <v>3</v>
      </c>
      <c r="L788" s="68" t="s">
        <v>2021</v>
      </c>
    </row>
    <row r="789" spans="2:12" ht="45" x14ac:dyDescent="0.25">
      <c r="B789" s="1">
        <v>803</v>
      </c>
      <c r="C789" s="15" t="s">
        <v>1313</v>
      </c>
      <c r="D789" s="15" t="s">
        <v>563</v>
      </c>
      <c r="E789" s="40" t="s">
        <v>2110</v>
      </c>
      <c r="F789" s="69">
        <v>640</v>
      </c>
      <c r="G789" s="70" t="s">
        <v>2019</v>
      </c>
      <c r="H789" s="71" t="s">
        <v>80</v>
      </c>
      <c r="I789" s="15" t="s">
        <v>19</v>
      </c>
      <c r="J789" s="72" t="s">
        <v>943</v>
      </c>
      <c r="K789" s="15" t="s">
        <v>3</v>
      </c>
      <c r="L789" s="68" t="s">
        <v>2022</v>
      </c>
    </row>
    <row r="790" spans="2:12" ht="67.5" customHeight="1" x14ac:dyDescent="0.25">
      <c r="B790" s="1">
        <v>804</v>
      </c>
      <c r="C790" s="5" t="s">
        <v>1313</v>
      </c>
      <c r="D790" s="5" t="s">
        <v>82</v>
      </c>
      <c r="E790" s="40">
        <v>733</v>
      </c>
      <c r="F790" s="6">
        <v>733</v>
      </c>
      <c r="G790" s="7" t="s">
        <v>2019</v>
      </c>
      <c r="H790" s="8" t="s">
        <v>80</v>
      </c>
      <c r="I790" s="15" t="s">
        <v>19</v>
      </c>
      <c r="J790" s="10" t="s">
        <v>944</v>
      </c>
      <c r="K790" s="20" t="s">
        <v>3</v>
      </c>
      <c r="L790" s="68" t="s">
        <v>2023</v>
      </c>
    </row>
    <row r="791" spans="2:12" ht="45" x14ac:dyDescent="0.25">
      <c r="B791" s="5">
        <v>805</v>
      </c>
      <c r="C791" s="5" t="s">
        <v>1988</v>
      </c>
      <c r="D791" s="5" t="s">
        <v>88</v>
      </c>
      <c r="E791" s="40">
        <v>100</v>
      </c>
      <c r="F791" s="6">
        <v>100</v>
      </c>
      <c r="G791" s="7" t="s">
        <v>2019</v>
      </c>
      <c r="H791" s="8" t="s">
        <v>80</v>
      </c>
      <c r="I791" s="15" t="s">
        <v>19</v>
      </c>
      <c r="J791" s="10" t="s">
        <v>927</v>
      </c>
      <c r="K791" s="15" t="s">
        <v>3</v>
      </c>
      <c r="L791" s="68" t="s">
        <v>2024</v>
      </c>
    </row>
    <row r="792" spans="2:12" ht="45" x14ac:dyDescent="0.25">
      <c r="B792" s="5">
        <v>806</v>
      </c>
      <c r="C792" s="5" t="s">
        <v>648</v>
      </c>
      <c r="D792" s="5" t="s">
        <v>84</v>
      </c>
      <c r="E792" s="40">
        <v>222.95</v>
      </c>
      <c r="F792" s="6">
        <v>222.95</v>
      </c>
      <c r="G792" s="7" t="s">
        <v>2025</v>
      </c>
      <c r="H792" s="8" t="s">
        <v>80</v>
      </c>
      <c r="I792" s="15" t="s">
        <v>19</v>
      </c>
      <c r="J792" s="10" t="s">
        <v>942</v>
      </c>
      <c r="K792" s="15" t="s">
        <v>3</v>
      </c>
      <c r="L792" s="68" t="s">
        <v>2026</v>
      </c>
    </row>
    <row r="793" spans="2:12" ht="90" x14ac:dyDescent="0.25">
      <c r="B793" s="1">
        <v>807</v>
      </c>
      <c r="C793" s="5" t="s">
        <v>501</v>
      </c>
      <c r="D793" s="5" t="s">
        <v>100</v>
      </c>
      <c r="E793" s="40" t="s">
        <v>438</v>
      </c>
      <c r="F793" s="6">
        <v>1500</v>
      </c>
      <c r="G793" s="7" t="s">
        <v>2025</v>
      </c>
      <c r="H793" s="8" t="s">
        <v>80</v>
      </c>
      <c r="I793" s="15" t="s">
        <v>19</v>
      </c>
      <c r="J793" s="10" t="s">
        <v>929</v>
      </c>
      <c r="K793" s="20" t="s">
        <v>281</v>
      </c>
      <c r="L793" s="68" t="s">
        <v>2027</v>
      </c>
    </row>
    <row r="794" spans="2:12" ht="45" x14ac:dyDescent="0.25">
      <c r="B794" s="1">
        <v>8</v>
      </c>
      <c r="C794" s="5" t="s">
        <v>960</v>
      </c>
      <c r="D794" s="5" t="s">
        <v>84</v>
      </c>
      <c r="E794" s="40" t="s">
        <v>2108</v>
      </c>
      <c r="F794" s="6">
        <v>4549.8</v>
      </c>
      <c r="G794" s="7" t="s">
        <v>2028</v>
      </c>
      <c r="H794" s="8" t="s">
        <v>80</v>
      </c>
      <c r="I794" s="15" t="s">
        <v>19</v>
      </c>
      <c r="J794" s="10" t="s">
        <v>942</v>
      </c>
      <c r="K794" s="20" t="s">
        <v>3</v>
      </c>
      <c r="L794" s="68" t="s">
        <v>2029</v>
      </c>
    </row>
    <row r="795" spans="2:12" ht="90" x14ac:dyDescent="0.25">
      <c r="B795" s="1">
        <v>808</v>
      </c>
      <c r="C795" s="5" t="s">
        <v>1989</v>
      </c>
      <c r="D795" s="5" t="s">
        <v>1990</v>
      </c>
      <c r="E795" s="40">
        <f>900000+692356</f>
        <v>1592356</v>
      </c>
      <c r="F795" s="6">
        <v>1642356</v>
      </c>
      <c r="G795" s="7" t="s">
        <v>2030</v>
      </c>
      <c r="H795" s="8" t="s">
        <v>80</v>
      </c>
      <c r="I795" s="15" t="s">
        <v>19</v>
      </c>
      <c r="J795" s="10" t="s">
        <v>1796</v>
      </c>
      <c r="K795" s="13" t="s">
        <v>1797</v>
      </c>
      <c r="L795" s="68" t="s">
        <v>2031</v>
      </c>
    </row>
    <row r="796" spans="2:12" ht="45" x14ac:dyDescent="0.25">
      <c r="B796" s="5">
        <v>809</v>
      </c>
      <c r="C796" s="5" t="s">
        <v>167</v>
      </c>
      <c r="D796" s="5" t="s">
        <v>82</v>
      </c>
      <c r="E796" s="40" t="s">
        <v>2105</v>
      </c>
      <c r="F796" s="6">
        <v>2187.5</v>
      </c>
      <c r="G796" s="7" t="s">
        <v>2032</v>
      </c>
      <c r="H796" s="8" t="s">
        <v>80</v>
      </c>
      <c r="I796" s="15" t="s">
        <v>19</v>
      </c>
      <c r="J796" s="10" t="s">
        <v>944</v>
      </c>
      <c r="K796" s="15" t="s">
        <v>3</v>
      </c>
      <c r="L796" s="68" t="s">
        <v>2033</v>
      </c>
    </row>
    <row r="797" spans="2:12" ht="45" x14ac:dyDescent="0.25">
      <c r="B797" s="5">
        <v>810</v>
      </c>
      <c r="C797" s="5" t="s">
        <v>1058</v>
      </c>
      <c r="D797" s="5" t="s">
        <v>563</v>
      </c>
      <c r="E797" s="40" t="s">
        <v>2104</v>
      </c>
      <c r="F797" s="6">
        <v>1900</v>
      </c>
      <c r="G797" s="7" t="s">
        <v>2032</v>
      </c>
      <c r="H797" s="8" t="s">
        <v>80</v>
      </c>
      <c r="I797" s="15" t="s">
        <v>19</v>
      </c>
      <c r="J797" s="10" t="s">
        <v>943</v>
      </c>
      <c r="K797" s="15" t="s">
        <v>3</v>
      </c>
      <c r="L797" s="68" t="s">
        <v>2034</v>
      </c>
    </row>
    <row r="798" spans="2:12" ht="45" x14ac:dyDescent="0.25">
      <c r="B798" s="1">
        <v>811</v>
      </c>
      <c r="C798" s="5" t="s">
        <v>1283</v>
      </c>
      <c r="D798" s="5" t="s">
        <v>84</v>
      </c>
      <c r="E798" s="40" t="s">
        <v>2103</v>
      </c>
      <c r="F798" s="6">
        <v>2700</v>
      </c>
      <c r="G798" s="7" t="s">
        <v>2032</v>
      </c>
      <c r="H798" s="8" t="s">
        <v>80</v>
      </c>
      <c r="I798" s="15" t="s">
        <v>19</v>
      </c>
      <c r="J798" s="10" t="s">
        <v>942</v>
      </c>
      <c r="K798" s="15" t="s">
        <v>3</v>
      </c>
      <c r="L798" s="68" t="s">
        <v>2035</v>
      </c>
    </row>
    <row r="799" spans="2:12" ht="45" x14ac:dyDescent="0.25">
      <c r="B799" s="1">
        <v>812</v>
      </c>
      <c r="C799" s="5" t="s">
        <v>1991</v>
      </c>
      <c r="D799" s="5" t="s">
        <v>88</v>
      </c>
      <c r="E799" s="40">
        <v>78.650000000000006</v>
      </c>
      <c r="F799" s="6">
        <v>80</v>
      </c>
      <c r="G799" s="7" t="s">
        <v>2032</v>
      </c>
      <c r="H799" s="8" t="s">
        <v>80</v>
      </c>
      <c r="I799" s="15" t="s">
        <v>19</v>
      </c>
      <c r="J799" s="10" t="s">
        <v>927</v>
      </c>
      <c r="K799" s="15" t="s">
        <v>3</v>
      </c>
      <c r="L799" s="68" t="s">
        <v>2036</v>
      </c>
    </row>
    <row r="800" spans="2:12" ht="45" x14ac:dyDescent="0.25">
      <c r="B800" s="5">
        <v>813</v>
      </c>
      <c r="C800" s="5" t="s">
        <v>1992</v>
      </c>
      <c r="D800" s="5" t="s">
        <v>88</v>
      </c>
      <c r="E800" s="40">
        <v>73.150000000000006</v>
      </c>
      <c r="F800" s="6">
        <v>100</v>
      </c>
      <c r="G800" s="7" t="s">
        <v>2032</v>
      </c>
      <c r="H800" s="8" t="s">
        <v>80</v>
      </c>
      <c r="I800" s="15" t="s">
        <v>19</v>
      </c>
      <c r="J800" s="10" t="s">
        <v>927</v>
      </c>
      <c r="K800" s="15" t="s">
        <v>3</v>
      </c>
      <c r="L800" s="68" t="s">
        <v>2037</v>
      </c>
    </row>
    <row r="801" spans="2:12" ht="45" x14ac:dyDescent="0.25">
      <c r="B801" s="1">
        <v>815</v>
      </c>
      <c r="C801" s="5" t="s">
        <v>1993</v>
      </c>
      <c r="D801" s="5" t="s">
        <v>88</v>
      </c>
      <c r="E801" s="40">
        <v>63.47</v>
      </c>
      <c r="F801" s="6">
        <v>100</v>
      </c>
      <c r="G801" s="7" t="s">
        <v>2032</v>
      </c>
      <c r="H801" s="8" t="s">
        <v>80</v>
      </c>
      <c r="I801" s="15" t="s">
        <v>19</v>
      </c>
      <c r="J801" s="10" t="s">
        <v>927</v>
      </c>
      <c r="K801" s="15" t="s">
        <v>3</v>
      </c>
      <c r="L801" s="68" t="s">
        <v>2038</v>
      </c>
    </row>
    <row r="802" spans="2:12" ht="45" x14ac:dyDescent="0.25">
      <c r="B802" s="5">
        <v>817</v>
      </c>
      <c r="C802" s="5" t="s">
        <v>851</v>
      </c>
      <c r="D802" s="5" t="s">
        <v>84</v>
      </c>
      <c r="E802" s="40">
        <v>500</v>
      </c>
      <c r="F802" s="6">
        <v>500</v>
      </c>
      <c r="G802" s="7" t="s">
        <v>2032</v>
      </c>
      <c r="H802" s="8" t="s">
        <v>80</v>
      </c>
      <c r="I802" s="15" t="s">
        <v>19</v>
      </c>
      <c r="J802" s="10" t="s">
        <v>942</v>
      </c>
      <c r="K802" s="15" t="s">
        <v>3</v>
      </c>
      <c r="L802" s="68" t="s">
        <v>2039</v>
      </c>
    </row>
    <row r="803" spans="2:12" ht="45" x14ac:dyDescent="0.25">
      <c r="B803" s="5">
        <v>818</v>
      </c>
      <c r="C803" s="5" t="s">
        <v>850</v>
      </c>
      <c r="D803" s="5" t="s">
        <v>88</v>
      </c>
      <c r="E803" s="40">
        <v>199.1</v>
      </c>
      <c r="F803" s="6">
        <v>200</v>
      </c>
      <c r="G803" s="7" t="s">
        <v>2032</v>
      </c>
      <c r="H803" s="8" t="s">
        <v>80</v>
      </c>
      <c r="I803" s="15" t="s">
        <v>19</v>
      </c>
      <c r="J803" s="10" t="s">
        <v>927</v>
      </c>
      <c r="K803" s="15" t="s">
        <v>3</v>
      </c>
      <c r="L803" s="68" t="s">
        <v>2040</v>
      </c>
    </row>
    <row r="804" spans="2:12" ht="90" x14ac:dyDescent="0.25">
      <c r="B804" s="1">
        <v>819</v>
      </c>
      <c r="C804" s="5" t="s">
        <v>262</v>
      </c>
      <c r="D804" s="5" t="s">
        <v>1627</v>
      </c>
      <c r="E804" s="40" t="s">
        <v>2121</v>
      </c>
      <c r="F804" s="6">
        <v>22780</v>
      </c>
      <c r="G804" s="7" t="s">
        <v>2032</v>
      </c>
      <c r="H804" s="8" t="s">
        <v>80</v>
      </c>
      <c r="I804" s="15" t="s">
        <v>19</v>
      </c>
      <c r="J804" s="10">
        <v>79800000</v>
      </c>
      <c r="K804" s="15" t="s">
        <v>281</v>
      </c>
      <c r="L804" s="68" t="s">
        <v>2041</v>
      </c>
    </row>
    <row r="805" spans="2:12" ht="45" x14ac:dyDescent="0.25">
      <c r="B805" s="5">
        <v>821</v>
      </c>
      <c r="C805" s="5" t="s">
        <v>102</v>
      </c>
      <c r="D805" s="5" t="s">
        <v>103</v>
      </c>
      <c r="E805" s="40" t="s">
        <v>2106</v>
      </c>
      <c r="F805" s="6">
        <v>2946</v>
      </c>
      <c r="G805" s="7" t="s">
        <v>2032</v>
      </c>
      <c r="H805" s="8" t="s">
        <v>80</v>
      </c>
      <c r="I805" s="15" t="s">
        <v>19</v>
      </c>
      <c r="J805" s="10" t="s">
        <v>946</v>
      </c>
      <c r="K805" s="15" t="s">
        <v>3</v>
      </c>
      <c r="L805" s="77" t="s">
        <v>2042</v>
      </c>
    </row>
    <row r="806" spans="2:12" x14ac:dyDescent="0.25">
      <c r="B806" s="5">
        <v>822</v>
      </c>
      <c r="C806" s="5" t="s">
        <v>1994</v>
      </c>
      <c r="D806" s="5" t="s">
        <v>1627</v>
      </c>
      <c r="E806" s="42">
        <v>46186</v>
      </c>
      <c r="F806" s="6">
        <v>59990</v>
      </c>
      <c r="G806" s="7" t="s">
        <v>2043</v>
      </c>
      <c r="H806" s="8" t="s">
        <v>26</v>
      </c>
      <c r="I806" s="15" t="s">
        <v>19</v>
      </c>
      <c r="J806" s="10">
        <v>79800000</v>
      </c>
      <c r="K806" s="15" t="s">
        <v>2044</v>
      </c>
      <c r="L806" s="68"/>
    </row>
    <row r="807" spans="2:12" ht="45" x14ac:dyDescent="0.25">
      <c r="B807" s="1">
        <v>823</v>
      </c>
      <c r="C807" s="5" t="s">
        <v>1995</v>
      </c>
      <c r="D807" s="5" t="s">
        <v>103</v>
      </c>
      <c r="E807" s="40" t="s">
        <v>2109</v>
      </c>
      <c r="F807" s="6">
        <v>4609.3999999999996</v>
      </c>
      <c r="G807" s="7" t="s">
        <v>2045</v>
      </c>
      <c r="H807" s="8" t="s">
        <v>80</v>
      </c>
      <c r="I807" s="15" t="s">
        <v>19</v>
      </c>
      <c r="J807" s="10" t="s">
        <v>946</v>
      </c>
      <c r="K807" s="15" t="s">
        <v>3</v>
      </c>
      <c r="L807" s="68" t="s">
        <v>2046</v>
      </c>
    </row>
    <row r="808" spans="2:12" ht="45" x14ac:dyDescent="0.25">
      <c r="B808" s="1">
        <v>824</v>
      </c>
      <c r="C808" s="5" t="s">
        <v>1058</v>
      </c>
      <c r="D808" s="5" t="s">
        <v>563</v>
      </c>
      <c r="E808" s="40">
        <v>900</v>
      </c>
      <c r="F808" s="6">
        <v>900</v>
      </c>
      <c r="G808" s="7" t="s">
        <v>2047</v>
      </c>
      <c r="H808" s="8" t="s">
        <v>80</v>
      </c>
      <c r="I808" s="15" t="s">
        <v>19</v>
      </c>
      <c r="J808" s="10" t="s">
        <v>943</v>
      </c>
      <c r="K808" s="15" t="s">
        <v>3</v>
      </c>
      <c r="L808" s="68" t="s">
        <v>2048</v>
      </c>
    </row>
    <row r="809" spans="2:12" ht="45" x14ac:dyDescent="0.25">
      <c r="B809" s="5">
        <v>825</v>
      </c>
      <c r="C809" s="5" t="s">
        <v>1996</v>
      </c>
      <c r="D809" s="5" t="s">
        <v>84</v>
      </c>
      <c r="E809" s="40" t="s">
        <v>2111</v>
      </c>
      <c r="F809" s="6">
        <v>1341</v>
      </c>
      <c r="G809" s="7" t="s">
        <v>2047</v>
      </c>
      <c r="H809" s="8" t="s">
        <v>80</v>
      </c>
      <c r="I809" s="15" t="s">
        <v>19</v>
      </c>
      <c r="J809" s="10" t="s">
        <v>942</v>
      </c>
      <c r="K809" s="15" t="s">
        <v>3</v>
      </c>
      <c r="L809" s="68" t="s">
        <v>2049</v>
      </c>
    </row>
    <row r="810" spans="2:12" ht="45" x14ac:dyDescent="0.25">
      <c r="B810" s="5">
        <v>826</v>
      </c>
      <c r="C810" s="5" t="s">
        <v>1996</v>
      </c>
      <c r="D810" s="5" t="s">
        <v>88</v>
      </c>
      <c r="E810" s="40">
        <v>306.35000000000002</v>
      </c>
      <c r="F810" s="6">
        <v>880</v>
      </c>
      <c r="G810" s="7" t="s">
        <v>2047</v>
      </c>
      <c r="H810" s="8" t="s">
        <v>80</v>
      </c>
      <c r="I810" s="15" t="s">
        <v>19</v>
      </c>
      <c r="J810" s="10" t="s">
        <v>927</v>
      </c>
      <c r="K810" s="15" t="s">
        <v>3</v>
      </c>
      <c r="L810" s="68" t="s">
        <v>2050</v>
      </c>
    </row>
    <row r="811" spans="2:12" ht="67.5" customHeight="1" x14ac:dyDescent="0.25">
      <c r="B811" s="1">
        <v>828</v>
      </c>
      <c r="C811" s="5" t="s">
        <v>396</v>
      </c>
      <c r="D811" s="5" t="s">
        <v>82</v>
      </c>
      <c r="E811" s="40" t="s">
        <v>1410</v>
      </c>
      <c r="F811" s="6">
        <v>1850</v>
      </c>
      <c r="G811" s="7" t="s">
        <v>2047</v>
      </c>
      <c r="H811" s="8" t="s">
        <v>80</v>
      </c>
      <c r="I811" s="15" t="s">
        <v>19</v>
      </c>
      <c r="J811" s="10" t="s">
        <v>944</v>
      </c>
      <c r="K811" s="15" t="s">
        <v>3</v>
      </c>
      <c r="L811" s="68" t="s">
        <v>2051</v>
      </c>
    </row>
    <row r="812" spans="2:12" ht="45" x14ac:dyDescent="0.25">
      <c r="B812" s="5">
        <v>829</v>
      </c>
      <c r="C812" s="5" t="s">
        <v>396</v>
      </c>
      <c r="D812" s="5" t="s">
        <v>563</v>
      </c>
      <c r="E812" s="40" t="s">
        <v>1942</v>
      </c>
      <c r="F812" s="6">
        <v>2100</v>
      </c>
      <c r="G812" s="7" t="s">
        <v>2047</v>
      </c>
      <c r="H812" s="8" t="s">
        <v>80</v>
      </c>
      <c r="I812" s="15" t="s">
        <v>19</v>
      </c>
      <c r="J812" s="10" t="s">
        <v>943</v>
      </c>
      <c r="K812" s="15" t="s">
        <v>3</v>
      </c>
      <c r="L812" s="68" t="s">
        <v>2052</v>
      </c>
    </row>
    <row r="813" spans="2:12" ht="45" x14ac:dyDescent="0.25">
      <c r="B813" s="5">
        <v>830</v>
      </c>
      <c r="C813" s="5" t="s">
        <v>613</v>
      </c>
      <c r="D813" s="5" t="s">
        <v>84</v>
      </c>
      <c r="E813" s="40">
        <v>212.5</v>
      </c>
      <c r="F813" s="6">
        <v>212.5</v>
      </c>
      <c r="G813" s="7" t="s">
        <v>2047</v>
      </c>
      <c r="H813" s="8" t="s">
        <v>80</v>
      </c>
      <c r="I813" s="15" t="s">
        <v>19</v>
      </c>
      <c r="J813" s="10" t="s">
        <v>942</v>
      </c>
      <c r="K813" s="15" t="s">
        <v>3</v>
      </c>
      <c r="L813" s="68" t="s">
        <v>2053</v>
      </c>
    </row>
    <row r="814" spans="2:12" ht="90" x14ac:dyDescent="0.25">
      <c r="B814" s="1">
        <v>831</v>
      </c>
      <c r="C814" s="5" t="s">
        <v>1997</v>
      </c>
      <c r="D814" s="5" t="s">
        <v>100</v>
      </c>
      <c r="E814" s="40" t="s">
        <v>2229</v>
      </c>
      <c r="F814" s="6">
        <v>26897.86</v>
      </c>
      <c r="G814" s="7" t="s">
        <v>2047</v>
      </c>
      <c r="H814" s="8" t="s">
        <v>80</v>
      </c>
      <c r="I814" s="15" t="s">
        <v>19</v>
      </c>
      <c r="J814" s="10" t="s">
        <v>929</v>
      </c>
      <c r="K814" s="15" t="s">
        <v>281</v>
      </c>
      <c r="L814" s="68" t="s">
        <v>2054</v>
      </c>
    </row>
    <row r="815" spans="2:12" ht="45" x14ac:dyDescent="0.25">
      <c r="B815" s="1">
        <v>832</v>
      </c>
      <c r="C815" s="5" t="s">
        <v>506</v>
      </c>
      <c r="D815" s="5" t="s">
        <v>1998</v>
      </c>
      <c r="E815" s="40">
        <v>31.5</v>
      </c>
      <c r="F815" s="6">
        <v>31.5</v>
      </c>
      <c r="G815" s="7" t="s">
        <v>2047</v>
      </c>
      <c r="H815" s="8" t="s">
        <v>80</v>
      </c>
      <c r="I815" s="15" t="s">
        <v>19</v>
      </c>
      <c r="J815" s="10" t="s">
        <v>2055</v>
      </c>
      <c r="K815" s="15" t="s">
        <v>10</v>
      </c>
      <c r="L815" s="68" t="s">
        <v>2056</v>
      </c>
    </row>
    <row r="816" spans="2:12" ht="45" x14ac:dyDescent="0.25">
      <c r="B816" s="5">
        <v>833</v>
      </c>
      <c r="C816" s="5" t="s">
        <v>506</v>
      </c>
      <c r="D816" s="5" t="s">
        <v>1999</v>
      </c>
      <c r="E816" s="40">
        <v>37</v>
      </c>
      <c r="F816" s="6">
        <v>37</v>
      </c>
      <c r="G816" s="7" t="s">
        <v>2047</v>
      </c>
      <c r="H816" s="8" t="s">
        <v>80</v>
      </c>
      <c r="I816" s="15" t="s">
        <v>19</v>
      </c>
      <c r="J816" s="10" t="s">
        <v>943</v>
      </c>
      <c r="K816" s="15" t="s">
        <v>10</v>
      </c>
      <c r="L816" s="68" t="s">
        <v>2057</v>
      </c>
    </row>
    <row r="817" spans="2:12" ht="18.75" customHeight="1" x14ac:dyDescent="0.25">
      <c r="B817" s="5">
        <v>834</v>
      </c>
      <c r="C817" s="5" t="s">
        <v>252</v>
      </c>
      <c r="D817" s="5" t="s">
        <v>2000</v>
      </c>
      <c r="E817" s="40" t="s">
        <v>1857</v>
      </c>
      <c r="F817" s="6">
        <v>100</v>
      </c>
      <c r="G817" s="7" t="s">
        <v>2058</v>
      </c>
      <c r="H817" s="8" t="s">
        <v>80</v>
      </c>
      <c r="I817" s="15" t="s">
        <v>19</v>
      </c>
      <c r="J817" s="10" t="s">
        <v>1374</v>
      </c>
      <c r="K817" s="11" t="s">
        <v>21</v>
      </c>
      <c r="L817" s="68" t="s">
        <v>2059</v>
      </c>
    </row>
    <row r="818" spans="2:12" ht="45" x14ac:dyDescent="0.25">
      <c r="B818" s="5">
        <v>837</v>
      </c>
      <c r="C818" s="5" t="s">
        <v>166</v>
      </c>
      <c r="D818" s="5" t="s">
        <v>563</v>
      </c>
      <c r="E818" s="40" t="s">
        <v>1408</v>
      </c>
      <c r="F818" s="6">
        <v>600</v>
      </c>
      <c r="G818" s="7" t="s">
        <v>2060</v>
      </c>
      <c r="H818" s="8" t="s">
        <v>80</v>
      </c>
      <c r="I818" s="15" t="s">
        <v>19</v>
      </c>
      <c r="J818" s="10" t="s">
        <v>943</v>
      </c>
      <c r="K818" s="11" t="s">
        <v>3</v>
      </c>
      <c r="L818" s="68" t="s">
        <v>2061</v>
      </c>
    </row>
    <row r="819" spans="2:12" ht="45" x14ac:dyDescent="0.25">
      <c r="B819" s="5">
        <v>838</v>
      </c>
      <c r="C819" s="5" t="s">
        <v>2001</v>
      </c>
      <c r="D819" s="5" t="s">
        <v>88</v>
      </c>
      <c r="E819" s="40" t="s">
        <v>2113</v>
      </c>
      <c r="F819" s="6">
        <v>160</v>
      </c>
      <c r="G819" s="7" t="s">
        <v>2060</v>
      </c>
      <c r="H819" s="8" t="s">
        <v>80</v>
      </c>
      <c r="I819" s="15" t="s">
        <v>19</v>
      </c>
      <c r="J819" s="10" t="s">
        <v>927</v>
      </c>
      <c r="K819" s="11" t="s">
        <v>3</v>
      </c>
      <c r="L819" s="68" t="s">
        <v>2062</v>
      </c>
    </row>
    <row r="820" spans="2:12" ht="45" x14ac:dyDescent="0.25">
      <c r="B820" s="1">
        <v>839</v>
      </c>
      <c r="C820" s="5" t="s">
        <v>2002</v>
      </c>
      <c r="D820" s="5" t="s">
        <v>84</v>
      </c>
      <c r="E820" s="40">
        <v>80</v>
      </c>
      <c r="F820" s="6">
        <v>80</v>
      </c>
      <c r="G820" s="7" t="s">
        <v>2060</v>
      </c>
      <c r="H820" s="8" t="s">
        <v>80</v>
      </c>
      <c r="I820" s="15" t="s">
        <v>19</v>
      </c>
      <c r="J820" s="10" t="s">
        <v>942</v>
      </c>
      <c r="K820" s="11" t="s">
        <v>3</v>
      </c>
      <c r="L820" s="68" t="s">
        <v>2063</v>
      </c>
    </row>
    <row r="821" spans="2:12" ht="45" x14ac:dyDescent="0.25">
      <c r="B821" s="1">
        <v>840</v>
      </c>
      <c r="C821" s="5" t="s">
        <v>2002</v>
      </c>
      <c r="D821" s="5" t="s">
        <v>88</v>
      </c>
      <c r="E821" s="40" t="s">
        <v>2114</v>
      </c>
      <c r="F821" s="6">
        <v>480</v>
      </c>
      <c r="G821" s="7" t="s">
        <v>2060</v>
      </c>
      <c r="H821" s="8" t="s">
        <v>80</v>
      </c>
      <c r="I821" s="15" t="s">
        <v>19</v>
      </c>
      <c r="J821" s="10" t="s">
        <v>927</v>
      </c>
      <c r="K821" s="11" t="s">
        <v>3</v>
      </c>
      <c r="L821" s="68" t="s">
        <v>2064</v>
      </c>
    </row>
    <row r="822" spans="2:12" ht="45" x14ac:dyDescent="0.25">
      <c r="B822" s="5">
        <v>841</v>
      </c>
      <c r="C822" s="5" t="s">
        <v>614</v>
      </c>
      <c r="D822" s="5" t="s">
        <v>88</v>
      </c>
      <c r="E822" s="40">
        <v>135</v>
      </c>
      <c r="F822" s="6">
        <v>200</v>
      </c>
      <c r="G822" s="7" t="s">
        <v>2060</v>
      </c>
      <c r="H822" s="8" t="s">
        <v>80</v>
      </c>
      <c r="I822" s="15" t="s">
        <v>19</v>
      </c>
      <c r="J822" s="10" t="s">
        <v>927</v>
      </c>
      <c r="K822" s="11" t="s">
        <v>3</v>
      </c>
      <c r="L822" s="68" t="s">
        <v>2065</v>
      </c>
    </row>
    <row r="823" spans="2:12" ht="45" x14ac:dyDescent="0.25">
      <c r="B823" s="5">
        <v>842</v>
      </c>
      <c r="C823" s="5" t="s">
        <v>635</v>
      </c>
      <c r="D823" s="5" t="s">
        <v>88</v>
      </c>
      <c r="E823" s="40" t="s">
        <v>2210</v>
      </c>
      <c r="F823" s="6">
        <v>240</v>
      </c>
      <c r="G823" s="7" t="s">
        <v>2060</v>
      </c>
      <c r="H823" s="8" t="s">
        <v>80</v>
      </c>
      <c r="I823" s="15" t="s">
        <v>19</v>
      </c>
      <c r="J823" s="10" t="s">
        <v>927</v>
      </c>
      <c r="K823" s="11" t="s">
        <v>3</v>
      </c>
      <c r="L823" s="68" t="s">
        <v>2066</v>
      </c>
    </row>
    <row r="824" spans="2:12" ht="45" x14ac:dyDescent="0.25">
      <c r="B824" s="1">
        <v>843</v>
      </c>
      <c r="C824" s="5" t="s">
        <v>635</v>
      </c>
      <c r="D824" s="5" t="s">
        <v>84</v>
      </c>
      <c r="E824" s="40">
        <v>820</v>
      </c>
      <c r="F824" s="6">
        <v>820</v>
      </c>
      <c r="G824" s="7" t="s">
        <v>2060</v>
      </c>
      <c r="H824" s="8" t="s">
        <v>80</v>
      </c>
      <c r="I824" s="15" t="s">
        <v>19</v>
      </c>
      <c r="J824" s="10" t="s">
        <v>942</v>
      </c>
      <c r="K824" s="11" t="s">
        <v>3</v>
      </c>
      <c r="L824" s="68" t="s">
        <v>2067</v>
      </c>
    </row>
    <row r="825" spans="2:12" ht="45" x14ac:dyDescent="0.25">
      <c r="B825" s="1">
        <v>844</v>
      </c>
      <c r="C825" s="5" t="s">
        <v>131</v>
      </c>
      <c r="D825" s="5" t="s">
        <v>294</v>
      </c>
      <c r="E825" s="40">
        <v>330.4</v>
      </c>
      <c r="F825" s="6">
        <v>330.4</v>
      </c>
      <c r="G825" s="7" t="s">
        <v>2060</v>
      </c>
      <c r="H825" s="8" t="s">
        <v>80</v>
      </c>
      <c r="I825" s="15" t="s">
        <v>19</v>
      </c>
      <c r="J825" s="10" t="s">
        <v>927</v>
      </c>
      <c r="K825" s="11" t="s">
        <v>3</v>
      </c>
      <c r="L825" s="68" t="s">
        <v>2068</v>
      </c>
    </row>
    <row r="826" spans="2:12" ht="45" x14ac:dyDescent="0.25">
      <c r="B826" s="5">
        <v>845</v>
      </c>
      <c r="C826" s="5" t="s">
        <v>668</v>
      </c>
      <c r="D826" s="5" t="s">
        <v>88</v>
      </c>
      <c r="E826" s="40">
        <v>239.8</v>
      </c>
      <c r="F826" s="6">
        <v>240</v>
      </c>
      <c r="G826" s="7" t="s">
        <v>2060</v>
      </c>
      <c r="H826" s="8" t="s">
        <v>80</v>
      </c>
      <c r="I826" s="15" t="s">
        <v>19</v>
      </c>
      <c r="J826" s="10" t="s">
        <v>927</v>
      </c>
      <c r="K826" s="11" t="s">
        <v>3</v>
      </c>
      <c r="L826" s="68" t="s">
        <v>2069</v>
      </c>
    </row>
    <row r="827" spans="2:12" ht="45" x14ac:dyDescent="0.25">
      <c r="B827" s="5">
        <v>846</v>
      </c>
      <c r="C827" s="5" t="s">
        <v>1058</v>
      </c>
      <c r="D827" s="5" t="s">
        <v>563</v>
      </c>
      <c r="E827" s="40" t="s">
        <v>2129</v>
      </c>
      <c r="F827" s="6">
        <v>1630</v>
      </c>
      <c r="G827" s="7" t="s">
        <v>2060</v>
      </c>
      <c r="H827" s="8" t="s">
        <v>80</v>
      </c>
      <c r="I827" s="15" t="s">
        <v>19</v>
      </c>
      <c r="J827" s="10" t="s">
        <v>943</v>
      </c>
      <c r="K827" s="11" t="s">
        <v>3</v>
      </c>
      <c r="L827" s="68" t="s">
        <v>2070</v>
      </c>
    </row>
    <row r="828" spans="2:12" ht="45" x14ac:dyDescent="0.25">
      <c r="B828" s="1">
        <v>847</v>
      </c>
      <c r="C828" s="5" t="s">
        <v>1988</v>
      </c>
      <c r="D828" s="5" t="s">
        <v>88</v>
      </c>
      <c r="E828" s="40">
        <v>132</v>
      </c>
      <c r="F828" s="6">
        <v>200</v>
      </c>
      <c r="G828" s="7" t="s">
        <v>2060</v>
      </c>
      <c r="H828" s="8" t="s">
        <v>80</v>
      </c>
      <c r="I828" s="15" t="s">
        <v>19</v>
      </c>
      <c r="J828" s="10" t="s">
        <v>927</v>
      </c>
      <c r="K828" s="11" t="s">
        <v>3</v>
      </c>
      <c r="L828" s="68" t="s">
        <v>2071</v>
      </c>
    </row>
    <row r="829" spans="2:12" ht="45" x14ac:dyDescent="0.25">
      <c r="B829" s="1">
        <v>848</v>
      </c>
      <c r="C829" s="5" t="s">
        <v>2003</v>
      </c>
      <c r="D829" s="5" t="s">
        <v>82</v>
      </c>
      <c r="E829" s="40" t="s">
        <v>2128</v>
      </c>
      <c r="F829" s="6">
        <v>2155</v>
      </c>
      <c r="G829" s="7" t="s">
        <v>2060</v>
      </c>
      <c r="H829" s="8" t="s">
        <v>80</v>
      </c>
      <c r="I829" s="15" t="s">
        <v>19</v>
      </c>
      <c r="J829" s="10" t="s">
        <v>944</v>
      </c>
      <c r="K829" s="11" t="s">
        <v>3</v>
      </c>
      <c r="L829" s="68" t="s">
        <v>2072</v>
      </c>
    </row>
    <row r="830" spans="2:12" ht="45" x14ac:dyDescent="0.25">
      <c r="B830" s="5">
        <v>849</v>
      </c>
      <c r="C830" s="5" t="s">
        <v>1563</v>
      </c>
      <c r="D830" s="5" t="s">
        <v>82</v>
      </c>
      <c r="E830" s="40" t="s">
        <v>2127</v>
      </c>
      <c r="F830" s="6">
        <v>2805</v>
      </c>
      <c r="G830" s="7" t="s">
        <v>2060</v>
      </c>
      <c r="H830" s="8" t="s">
        <v>80</v>
      </c>
      <c r="I830" s="15" t="s">
        <v>19</v>
      </c>
      <c r="J830" s="10" t="s">
        <v>944</v>
      </c>
      <c r="K830" s="11" t="s">
        <v>3</v>
      </c>
      <c r="L830" s="68" t="s">
        <v>2073</v>
      </c>
    </row>
    <row r="831" spans="2:12" ht="45" x14ac:dyDescent="0.25">
      <c r="B831" s="5">
        <v>850</v>
      </c>
      <c r="C831" s="5" t="s">
        <v>2004</v>
      </c>
      <c r="D831" s="5" t="s">
        <v>88</v>
      </c>
      <c r="E831" s="40">
        <v>400</v>
      </c>
      <c r="F831" s="6">
        <v>400</v>
      </c>
      <c r="G831" s="7" t="s">
        <v>2060</v>
      </c>
      <c r="H831" s="8" t="s">
        <v>80</v>
      </c>
      <c r="I831" s="15" t="s">
        <v>19</v>
      </c>
      <c r="J831" s="10" t="s">
        <v>927</v>
      </c>
      <c r="K831" s="11" t="s">
        <v>3</v>
      </c>
      <c r="L831" s="68" t="s">
        <v>2074</v>
      </c>
    </row>
    <row r="832" spans="2:12" ht="45" x14ac:dyDescent="0.25">
      <c r="B832" s="1">
        <v>851</v>
      </c>
      <c r="C832" s="5" t="s">
        <v>1588</v>
      </c>
      <c r="D832" s="5" t="s">
        <v>84</v>
      </c>
      <c r="E832" s="40" t="s">
        <v>2159</v>
      </c>
      <c r="F832" s="28" t="s">
        <v>2159</v>
      </c>
      <c r="G832" s="7" t="s">
        <v>2060</v>
      </c>
      <c r="H832" s="8" t="s">
        <v>80</v>
      </c>
      <c r="I832" s="15" t="s">
        <v>19</v>
      </c>
      <c r="J832" s="10" t="s">
        <v>942</v>
      </c>
      <c r="K832" s="11" t="s">
        <v>3</v>
      </c>
      <c r="L832" s="68" t="s">
        <v>2075</v>
      </c>
    </row>
    <row r="833" spans="2:12" ht="45" x14ac:dyDescent="0.25">
      <c r="B833" s="1">
        <v>852</v>
      </c>
      <c r="C833" s="5" t="s">
        <v>613</v>
      </c>
      <c r="D833" s="5" t="s">
        <v>88</v>
      </c>
      <c r="E833" s="40">
        <v>479.6</v>
      </c>
      <c r="F833" s="6">
        <v>480</v>
      </c>
      <c r="G833" s="7" t="s">
        <v>2060</v>
      </c>
      <c r="H833" s="8" t="s">
        <v>80</v>
      </c>
      <c r="I833" s="15" t="s">
        <v>19</v>
      </c>
      <c r="J833" s="10" t="s">
        <v>927</v>
      </c>
      <c r="K833" s="11" t="s">
        <v>3</v>
      </c>
      <c r="L833" s="68" t="s">
        <v>2076</v>
      </c>
    </row>
    <row r="834" spans="2:12" ht="45" x14ac:dyDescent="0.25">
      <c r="B834" s="5">
        <v>853</v>
      </c>
      <c r="C834" s="5" t="s">
        <v>1279</v>
      </c>
      <c r="D834" s="5" t="s">
        <v>563</v>
      </c>
      <c r="E834" s="40" t="s">
        <v>2211</v>
      </c>
      <c r="F834" s="6">
        <v>2580</v>
      </c>
      <c r="G834" s="7" t="s">
        <v>2060</v>
      </c>
      <c r="H834" s="8" t="s">
        <v>80</v>
      </c>
      <c r="I834" s="15" t="s">
        <v>19</v>
      </c>
      <c r="J834" s="10" t="s">
        <v>943</v>
      </c>
      <c r="K834" s="11" t="s">
        <v>3</v>
      </c>
      <c r="L834" s="68" t="s">
        <v>2077</v>
      </c>
    </row>
    <row r="835" spans="2:12" ht="45" x14ac:dyDescent="0.25">
      <c r="B835" s="5">
        <v>854</v>
      </c>
      <c r="C835" s="5" t="s">
        <v>1605</v>
      </c>
      <c r="D835" s="5" t="s">
        <v>84</v>
      </c>
      <c r="E835" s="40" t="s">
        <v>2152</v>
      </c>
      <c r="F835" s="6">
        <v>1700</v>
      </c>
      <c r="G835" s="7" t="s">
        <v>2060</v>
      </c>
      <c r="H835" s="8" t="s">
        <v>80</v>
      </c>
      <c r="I835" s="15" t="s">
        <v>19</v>
      </c>
      <c r="J835" s="10" t="s">
        <v>942</v>
      </c>
      <c r="K835" s="11" t="s">
        <v>3</v>
      </c>
      <c r="L835" s="68" t="s">
        <v>2078</v>
      </c>
    </row>
    <row r="836" spans="2:12" ht="45" x14ac:dyDescent="0.25">
      <c r="B836" s="1">
        <v>855</v>
      </c>
      <c r="C836" s="5" t="s">
        <v>664</v>
      </c>
      <c r="D836" s="5" t="s">
        <v>82</v>
      </c>
      <c r="E836" s="40" t="s">
        <v>2161</v>
      </c>
      <c r="F836" s="6">
        <v>3375</v>
      </c>
      <c r="G836" s="7" t="s">
        <v>2060</v>
      </c>
      <c r="H836" s="8" t="s">
        <v>80</v>
      </c>
      <c r="I836" s="15" t="s">
        <v>19</v>
      </c>
      <c r="J836" s="10" t="s">
        <v>944</v>
      </c>
      <c r="K836" s="11" t="s">
        <v>3</v>
      </c>
      <c r="L836" s="68" t="s">
        <v>2079</v>
      </c>
    </row>
    <row r="837" spans="2:12" ht="45" x14ac:dyDescent="0.25">
      <c r="B837" s="1">
        <v>856</v>
      </c>
      <c r="C837" s="5" t="s">
        <v>562</v>
      </c>
      <c r="D837" s="5" t="s">
        <v>563</v>
      </c>
      <c r="E837" s="40" t="s">
        <v>2160</v>
      </c>
      <c r="F837" s="6">
        <v>10350</v>
      </c>
      <c r="G837" s="7" t="s">
        <v>2060</v>
      </c>
      <c r="H837" s="8" t="s">
        <v>80</v>
      </c>
      <c r="I837" s="15" t="s">
        <v>19</v>
      </c>
      <c r="J837" s="10" t="s">
        <v>943</v>
      </c>
      <c r="K837" s="11" t="s">
        <v>3</v>
      </c>
      <c r="L837" s="68" t="s">
        <v>2080</v>
      </c>
    </row>
    <row r="838" spans="2:12" ht="45" x14ac:dyDescent="0.25">
      <c r="B838" s="5">
        <v>857</v>
      </c>
      <c r="C838" s="5" t="s">
        <v>613</v>
      </c>
      <c r="D838" s="5" t="s">
        <v>84</v>
      </c>
      <c r="E838" s="40" t="s">
        <v>2153</v>
      </c>
      <c r="F838" s="6">
        <v>1173</v>
      </c>
      <c r="G838" s="7" t="s">
        <v>2060</v>
      </c>
      <c r="H838" s="8" t="s">
        <v>80</v>
      </c>
      <c r="I838" s="15" t="s">
        <v>19</v>
      </c>
      <c r="J838" s="10" t="s">
        <v>942</v>
      </c>
      <c r="K838" s="11" t="s">
        <v>3</v>
      </c>
      <c r="L838" s="68" t="s">
        <v>2081</v>
      </c>
    </row>
    <row r="839" spans="2:12" ht="45" x14ac:dyDescent="0.25">
      <c r="B839" s="5">
        <v>858</v>
      </c>
      <c r="C839" s="5" t="s">
        <v>102</v>
      </c>
      <c r="D839" s="5" t="s">
        <v>103</v>
      </c>
      <c r="E839" s="40" t="s">
        <v>2123</v>
      </c>
      <c r="F839" s="6">
        <v>3100</v>
      </c>
      <c r="G839" s="7" t="s">
        <v>2060</v>
      </c>
      <c r="H839" s="8" t="s">
        <v>80</v>
      </c>
      <c r="I839" s="15" t="s">
        <v>19</v>
      </c>
      <c r="J839" s="10" t="s">
        <v>946</v>
      </c>
      <c r="K839" s="11" t="s">
        <v>3</v>
      </c>
      <c r="L839" s="68" t="s">
        <v>2082</v>
      </c>
    </row>
    <row r="840" spans="2:12" s="5" customFormat="1" ht="45" x14ac:dyDescent="0.25">
      <c r="B840" s="1">
        <v>859</v>
      </c>
      <c r="C840" s="5" t="s">
        <v>102</v>
      </c>
      <c r="D840" s="5" t="s">
        <v>103</v>
      </c>
      <c r="E840" s="40" t="s">
        <v>2122</v>
      </c>
      <c r="F840" s="6">
        <v>9300</v>
      </c>
      <c r="G840" s="7" t="s">
        <v>2060</v>
      </c>
      <c r="H840" s="8" t="s">
        <v>80</v>
      </c>
      <c r="I840" s="15" t="s">
        <v>19</v>
      </c>
      <c r="J840" s="10" t="s">
        <v>946</v>
      </c>
      <c r="K840" s="11" t="s">
        <v>3</v>
      </c>
      <c r="L840" s="68" t="s">
        <v>2083</v>
      </c>
    </row>
    <row r="841" spans="2:12" ht="45" x14ac:dyDescent="0.25">
      <c r="B841" s="1">
        <v>860</v>
      </c>
      <c r="C841" s="5" t="s">
        <v>646</v>
      </c>
      <c r="D841" s="5" t="s">
        <v>103</v>
      </c>
      <c r="E841" s="40" t="s">
        <v>2126</v>
      </c>
      <c r="F841" s="6">
        <v>2512</v>
      </c>
      <c r="G841" s="7" t="s">
        <v>2060</v>
      </c>
      <c r="H841" s="8" t="s">
        <v>80</v>
      </c>
      <c r="I841" s="15" t="s">
        <v>19</v>
      </c>
      <c r="J841" s="10" t="s">
        <v>946</v>
      </c>
      <c r="K841" s="11" t="s">
        <v>3</v>
      </c>
      <c r="L841" s="68" t="s">
        <v>2084</v>
      </c>
    </row>
    <row r="842" spans="2:12" ht="45" x14ac:dyDescent="0.25">
      <c r="B842" s="5">
        <v>861</v>
      </c>
      <c r="C842" s="5" t="s">
        <v>102</v>
      </c>
      <c r="D842" s="5" t="s">
        <v>103</v>
      </c>
      <c r="E842" s="40" t="s">
        <v>2124</v>
      </c>
      <c r="F842" s="6">
        <v>13400</v>
      </c>
      <c r="G842" s="7" t="s">
        <v>2060</v>
      </c>
      <c r="H842" s="8" t="s">
        <v>80</v>
      </c>
      <c r="I842" s="15" t="s">
        <v>19</v>
      </c>
      <c r="J842" s="10" t="s">
        <v>946</v>
      </c>
      <c r="K842" s="11" t="s">
        <v>3</v>
      </c>
      <c r="L842" s="68" t="s">
        <v>2085</v>
      </c>
    </row>
    <row r="843" spans="2:12" ht="45" x14ac:dyDescent="0.25">
      <c r="B843" s="5">
        <v>862</v>
      </c>
      <c r="C843" s="5" t="s">
        <v>102</v>
      </c>
      <c r="D843" s="5" t="s">
        <v>103</v>
      </c>
      <c r="E843" s="40" t="s">
        <v>2125</v>
      </c>
      <c r="F843" s="6">
        <v>8260</v>
      </c>
      <c r="G843" s="7" t="s">
        <v>2060</v>
      </c>
      <c r="H843" s="8" t="s">
        <v>80</v>
      </c>
      <c r="I843" s="15" t="s">
        <v>19</v>
      </c>
      <c r="J843" s="10" t="s">
        <v>946</v>
      </c>
      <c r="K843" s="11" t="s">
        <v>3</v>
      </c>
      <c r="L843" s="68" t="s">
        <v>2086</v>
      </c>
    </row>
    <row r="844" spans="2:12" ht="45" x14ac:dyDescent="0.25">
      <c r="B844" s="1">
        <v>863</v>
      </c>
      <c r="C844" s="5" t="s">
        <v>2005</v>
      </c>
      <c r="D844" s="5" t="s">
        <v>88</v>
      </c>
      <c r="E844" s="40">
        <v>86.57</v>
      </c>
      <c r="F844" s="6">
        <v>100</v>
      </c>
      <c r="G844" s="7" t="s">
        <v>2087</v>
      </c>
      <c r="H844" s="8" t="s">
        <v>80</v>
      </c>
      <c r="I844" s="15" t="s">
        <v>19</v>
      </c>
      <c r="J844" s="10" t="s">
        <v>927</v>
      </c>
      <c r="K844" s="11" t="s">
        <v>3</v>
      </c>
      <c r="L844" s="68" t="s">
        <v>2088</v>
      </c>
    </row>
    <row r="845" spans="2:12" ht="45" x14ac:dyDescent="0.25">
      <c r="B845" s="1">
        <v>864</v>
      </c>
      <c r="C845" s="5" t="s">
        <v>2006</v>
      </c>
      <c r="D845" s="5" t="s">
        <v>88</v>
      </c>
      <c r="E845" s="40">
        <v>100</v>
      </c>
      <c r="F845" s="6">
        <v>100</v>
      </c>
      <c r="G845" s="7" t="s">
        <v>2087</v>
      </c>
      <c r="H845" s="8" t="s">
        <v>80</v>
      </c>
      <c r="I845" s="15" t="s">
        <v>19</v>
      </c>
      <c r="J845" s="10" t="s">
        <v>927</v>
      </c>
      <c r="K845" s="11" t="s">
        <v>3</v>
      </c>
      <c r="L845" s="68" t="s">
        <v>2089</v>
      </c>
    </row>
    <row r="846" spans="2:12" ht="45" x14ac:dyDescent="0.25">
      <c r="B846" s="5">
        <v>865</v>
      </c>
      <c r="C846" s="5" t="s">
        <v>272</v>
      </c>
      <c r="D846" s="5" t="s">
        <v>563</v>
      </c>
      <c r="E846" s="40" t="s">
        <v>2133</v>
      </c>
      <c r="F846" s="6">
        <v>1330</v>
      </c>
      <c r="G846" s="7" t="s">
        <v>2087</v>
      </c>
      <c r="H846" s="8" t="s">
        <v>80</v>
      </c>
      <c r="I846" s="15" t="s">
        <v>19</v>
      </c>
      <c r="J846" s="10" t="s">
        <v>943</v>
      </c>
      <c r="K846" s="11" t="s">
        <v>3</v>
      </c>
      <c r="L846" s="68" t="s">
        <v>2130</v>
      </c>
    </row>
    <row r="847" spans="2:12" ht="45" x14ac:dyDescent="0.25">
      <c r="B847" s="5">
        <v>866</v>
      </c>
      <c r="C847" s="5" t="s">
        <v>272</v>
      </c>
      <c r="D847" s="5" t="s">
        <v>82</v>
      </c>
      <c r="E847" s="40" t="s">
        <v>2133</v>
      </c>
      <c r="F847" s="6">
        <v>1330</v>
      </c>
      <c r="G847" s="7" t="s">
        <v>2087</v>
      </c>
      <c r="H847" s="8" t="s">
        <v>80</v>
      </c>
      <c r="I847" s="15" t="s">
        <v>19</v>
      </c>
      <c r="J847" s="10" t="s">
        <v>944</v>
      </c>
      <c r="K847" s="11" t="s">
        <v>3</v>
      </c>
      <c r="L847" s="68" t="s">
        <v>2131</v>
      </c>
    </row>
    <row r="848" spans="2:12" ht="45" x14ac:dyDescent="0.25">
      <c r="B848" s="1">
        <v>867</v>
      </c>
      <c r="C848" s="5" t="s">
        <v>849</v>
      </c>
      <c r="D848" s="5" t="s">
        <v>88</v>
      </c>
      <c r="E848" s="40">
        <v>45.65</v>
      </c>
      <c r="F848" s="6">
        <v>100</v>
      </c>
      <c r="G848" s="7" t="s">
        <v>2087</v>
      </c>
      <c r="H848" s="8" t="s">
        <v>80</v>
      </c>
      <c r="I848" s="15" t="s">
        <v>19</v>
      </c>
      <c r="J848" s="10" t="s">
        <v>927</v>
      </c>
      <c r="K848" s="11" t="s">
        <v>3</v>
      </c>
      <c r="L848" s="68" t="s">
        <v>2132</v>
      </c>
    </row>
    <row r="849" spans="2:12" ht="45" x14ac:dyDescent="0.25">
      <c r="B849" s="1">
        <v>868</v>
      </c>
      <c r="C849" s="5" t="s">
        <v>668</v>
      </c>
      <c r="D849" s="5" t="s">
        <v>88</v>
      </c>
      <c r="E849" s="40" t="s">
        <v>2115</v>
      </c>
      <c r="F849" s="6">
        <v>120</v>
      </c>
      <c r="G849" s="7" t="s">
        <v>2087</v>
      </c>
      <c r="H849" s="8" t="s">
        <v>80</v>
      </c>
      <c r="I849" s="15" t="s">
        <v>19</v>
      </c>
      <c r="J849" s="10" t="s">
        <v>927</v>
      </c>
      <c r="K849" s="11" t="s">
        <v>3</v>
      </c>
      <c r="L849" s="68" t="s">
        <v>2090</v>
      </c>
    </row>
    <row r="850" spans="2:12" ht="45" x14ac:dyDescent="0.25">
      <c r="B850" s="5">
        <v>869</v>
      </c>
      <c r="C850" s="5" t="s">
        <v>635</v>
      </c>
      <c r="D850" s="5" t="s">
        <v>84</v>
      </c>
      <c r="E850" s="40">
        <v>410</v>
      </c>
      <c r="F850" s="6">
        <v>410</v>
      </c>
      <c r="G850" s="7" t="s">
        <v>2087</v>
      </c>
      <c r="H850" s="8" t="s">
        <v>80</v>
      </c>
      <c r="I850" s="15" t="s">
        <v>19</v>
      </c>
      <c r="J850" s="10" t="s">
        <v>942</v>
      </c>
      <c r="K850" s="11" t="s">
        <v>3</v>
      </c>
      <c r="L850" s="68" t="s">
        <v>2207</v>
      </c>
    </row>
    <row r="851" spans="2:12" ht="45" x14ac:dyDescent="0.25">
      <c r="B851" s="5">
        <v>870</v>
      </c>
      <c r="C851" s="5" t="s">
        <v>635</v>
      </c>
      <c r="D851" s="5" t="s">
        <v>88</v>
      </c>
      <c r="E851" s="40">
        <v>119.9</v>
      </c>
      <c r="F851" s="6">
        <v>120</v>
      </c>
      <c r="G851" s="7" t="s">
        <v>2087</v>
      </c>
      <c r="H851" s="8" t="s">
        <v>80</v>
      </c>
      <c r="I851" s="15" t="s">
        <v>19</v>
      </c>
      <c r="J851" s="10" t="s">
        <v>927</v>
      </c>
      <c r="K851" s="11" t="s">
        <v>3</v>
      </c>
      <c r="L851" s="68" t="s">
        <v>2208</v>
      </c>
    </row>
    <row r="852" spans="2:12" ht="45" x14ac:dyDescent="0.25">
      <c r="B852" s="5">
        <v>871</v>
      </c>
      <c r="C852" s="5" t="s">
        <v>2186</v>
      </c>
      <c r="D852" s="5" t="s">
        <v>88</v>
      </c>
      <c r="E852" s="40">
        <v>480</v>
      </c>
      <c r="F852" s="6">
        <v>100</v>
      </c>
      <c r="G852" s="7" t="s">
        <v>2087</v>
      </c>
      <c r="H852" s="8" t="s">
        <v>80</v>
      </c>
      <c r="I852" s="15" t="s">
        <v>19</v>
      </c>
      <c r="J852" s="10" t="s">
        <v>927</v>
      </c>
      <c r="K852" s="11" t="s">
        <v>3</v>
      </c>
      <c r="L852" s="68" t="s">
        <v>2209</v>
      </c>
    </row>
    <row r="853" spans="2:12" ht="45" x14ac:dyDescent="0.25">
      <c r="B853" s="1">
        <v>872</v>
      </c>
      <c r="C853" s="5" t="s">
        <v>838</v>
      </c>
      <c r="D853" s="5" t="s">
        <v>88</v>
      </c>
      <c r="E853" s="40">
        <v>100</v>
      </c>
      <c r="F853" s="6">
        <v>100</v>
      </c>
      <c r="G853" s="7" t="s">
        <v>2087</v>
      </c>
      <c r="H853" s="8" t="s">
        <v>80</v>
      </c>
      <c r="I853" s="15" t="s">
        <v>19</v>
      </c>
      <c r="J853" s="10" t="s">
        <v>927</v>
      </c>
      <c r="K853" s="11" t="s">
        <v>3</v>
      </c>
      <c r="L853" s="68" t="s">
        <v>2091</v>
      </c>
    </row>
    <row r="854" spans="2:12" ht="45" x14ac:dyDescent="0.25">
      <c r="B854" s="5">
        <v>873</v>
      </c>
      <c r="C854" s="5" t="s">
        <v>1988</v>
      </c>
      <c r="D854" s="5" t="s">
        <v>88</v>
      </c>
      <c r="E854" s="40">
        <v>94.6</v>
      </c>
      <c r="F854" s="6">
        <v>100</v>
      </c>
      <c r="G854" s="7" t="s">
        <v>2087</v>
      </c>
      <c r="H854" s="8" t="s">
        <v>80</v>
      </c>
      <c r="I854" s="15" t="s">
        <v>19</v>
      </c>
      <c r="J854" s="10" t="s">
        <v>927</v>
      </c>
      <c r="K854" s="11" t="s">
        <v>3</v>
      </c>
      <c r="L854" s="68" t="s">
        <v>2092</v>
      </c>
    </row>
    <row r="855" spans="2:12" ht="45" x14ac:dyDescent="0.25">
      <c r="B855" s="5">
        <v>874</v>
      </c>
      <c r="C855" s="5" t="s">
        <v>2007</v>
      </c>
      <c r="D855" s="5" t="s">
        <v>2008</v>
      </c>
      <c r="E855" s="40" t="s">
        <v>2213</v>
      </c>
      <c r="F855" s="6">
        <v>3072.72</v>
      </c>
      <c r="G855" s="7" t="s">
        <v>2093</v>
      </c>
      <c r="H855" s="8" t="s">
        <v>80</v>
      </c>
      <c r="I855" s="15" t="s">
        <v>19</v>
      </c>
      <c r="J855" s="10" t="s">
        <v>942</v>
      </c>
      <c r="K855" s="11" t="s">
        <v>3</v>
      </c>
      <c r="L855" s="68" t="s">
        <v>2212</v>
      </c>
    </row>
    <row r="856" spans="2:12" ht="101.25" x14ac:dyDescent="0.25">
      <c r="B856" s="1">
        <v>875</v>
      </c>
      <c r="C856" s="5" t="s">
        <v>2009</v>
      </c>
      <c r="D856" s="5" t="s">
        <v>2010</v>
      </c>
      <c r="E856" s="40" t="s">
        <v>2228</v>
      </c>
      <c r="F856" s="6">
        <v>2750</v>
      </c>
      <c r="G856" s="7" t="s">
        <v>2093</v>
      </c>
      <c r="H856" s="8" t="s">
        <v>80</v>
      </c>
      <c r="I856" s="15" t="s">
        <v>19</v>
      </c>
      <c r="J856" s="10" t="s">
        <v>951</v>
      </c>
      <c r="K856" s="13" t="s">
        <v>588</v>
      </c>
      <c r="L856" s="68" t="s">
        <v>2094</v>
      </c>
    </row>
    <row r="857" spans="2:12" ht="45" x14ac:dyDescent="0.25">
      <c r="B857" s="1">
        <v>876</v>
      </c>
      <c r="C857" s="5" t="s">
        <v>509</v>
      </c>
      <c r="D857" s="5" t="s">
        <v>88</v>
      </c>
      <c r="E857" s="40">
        <v>60</v>
      </c>
      <c r="F857" s="6">
        <v>60</v>
      </c>
      <c r="G857" s="7" t="s">
        <v>2093</v>
      </c>
      <c r="H857" s="8" t="s">
        <v>80</v>
      </c>
      <c r="I857" s="15" t="s">
        <v>19</v>
      </c>
      <c r="J857" s="10" t="s">
        <v>927</v>
      </c>
      <c r="K857" s="11" t="s">
        <v>3</v>
      </c>
      <c r="L857" s="68" t="s">
        <v>2135</v>
      </c>
    </row>
    <row r="858" spans="2:12" ht="45" x14ac:dyDescent="0.25">
      <c r="B858" s="5">
        <v>877</v>
      </c>
      <c r="C858" s="5" t="s">
        <v>1550</v>
      </c>
      <c r="D858" s="5" t="s">
        <v>84</v>
      </c>
      <c r="E858" s="40" t="s">
        <v>2157</v>
      </c>
      <c r="F858" s="6">
        <v>1200</v>
      </c>
      <c r="G858" s="7" t="s">
        <v>2093</v>
      </c>
      <c r="H858" s="8" t="s">
        <v>80</v>
      </c>
      <c r="I858" s="15" t="s">
        <v>19</v>
      </c>
      <c r="J858" s="10" t="s">
        <v>942</v>
      </c>
      <c r="K858" s="11" t="s">
        <v>3</v>
      </c>
      <c r="L858" s="68" t="s">
        <v>2136</v>
      </c>
    </row>
    <row r="859" spans="2:12" ht="45" x14ac:dyDescent="0.25">
      <c r="B859" s="5">
        <v>878</v>
      </c>
      <c r="C859" s="5" t="s">
        <v>668</v>
      </c>
      <c r="D859" s="5" t="s">
        <v>88</v>
      </c>
      <c r="E859" s="40">
        <v>59.4</v>
      </c>
      <c r="F859" s="6">
        <v>60</v>
      </c>
      <c r="G859" s="7" t="s">
        <v>2093</v>
      </c>
      <c r="H859" s="8" t="s">
        <v>80</v>
      </c>
      <c r="I859" s="15" t="s">
        <v>19</v>
      </c>
      <c r="J859" s="10" t="s">
        <v>927</v>
      </c>
      <c r="K859" s="11" t="s">
        <v>3</v>
      </c>
      <c r="L859" s="68" t="s">
        <v>2137</v>
      </c>
    </row>
    <row r="860" spans="2:12" ht="45" x14ac:dyDescent="0.25">
      <c r="B860" s="1">
        <v>879</v>
      </c>
      <c r="C860" s="5" t="s">
        <v>454</v>
      </c>
      <c r="D860" s="5" t="s">
        <v>563</v>
      </c>
      <c r="E860" s="40" t="s">
        <v>2149</v>
      </c>
      <c r="F860" s="6">
        <v>4150</v>
      </c>
      <c r="G860" s="7" t="s">
        <v>2093</v>
      </c>
      <c r="H860" s="8" t="s">
        <v>80</v>
      </c>
      <c r="I860" s="15" t="s">
        <v>19</v>
      </c>
      <c r="J860" s="10" t="s">
        <v>943</v>
      </c>
      <c r="K860" s="11" t="s">
        <v>3</v>
      </c>
      <c r="L860" s="68" t="s">
        <v>2138</v>
      </c>
    </row>
    <row r="861" spans="2:12" ht="45" x14ac:dyDescent="0.25">
      <c r="B861" s="1">
        <v>880</v>
      </c>
      <c r="C861" s="5" t="s">
        <v>454</v>
      </c>
      <c r="D861" s="5" t="s">
        <v>82</v>
      </c>
      <c r="E861" s="40" t="s">
        <v>522</v>
      </c>
      <c r="F861" s="6">
        <v>2050</v>
      </c>
      <c r="G861" s="7" t="s">
        <v>2093</v>
      </c>
      <c r="H861" s="8" t="s">
        <v>80</v>
      </c>
      <c r="I861" s="15" t="s">
        <v>19</v>
      </c>
      <c r="J861" s="10" t="s">
        <v>944</v>
      </c>
      <c r="K861" s="11" t="s">
        <v>3</v>
      </c>
      <c r="L861" s="68" t="s">
        <v>2139</v>
      </c>
    </row>
    <row r="862" spans="2:12" ht="45" x14ac:dyDescent="0.25">
      <c r="B862" s="5">
        <v>881</v>
      </c>
      <c r="C862" s="5" t="s">
        <v>1550</v>
      </c>
      <c r="D862" s="5" t="s">
        <v>84</v>
      </c>
      <c r="E862" s="40" t="s">
        <v>2155</v>
      </c>
      <c r="F862" s="6">
        <v>4580</v>
      </c>
      <c r="G862" s="7" t="s">
        <v>2095</v>
      </c>
      <c r="H862" s="8" t="s">
        <v>80</v>
      </c>
      <c r="I862" s="15" t="s">
        <v>19</v>
      </c>
      <c r="J862" s="10" t="s">
        <v>942</v>
      </c>
      <c r="K862" s="11" t="s">
        <v>3</v>
      </c>
      <c r="L862" s="68" t="s">
        <v>2140</v>
      </c>
    </row>
    <row r="863" spans="2:12" ht="45" x14ac:dyDescent="0.25">
      <c r="B863" s="5">
        <v>882</v>
      </c>
      <c r="C863" s="5" t="s">
        <v>2011</v>
      </c>
      <c r="D863" s="5" t="s">
        <v>84</v>
      </c>
      <c r="E863" s="40" t="s">
        <v>2156</v>
      </c>
      <c r="F863" s="6">
        <v>1840</v>
      </c>
      <c r="G863" s="7" t="s">
        <v>2095</v>
      </c>
      <c r="H863" s="8" t="s">
        <v>80</v>
      </c>
      <c r="I863" s="15" t="s">
        <v>19</v>
      </c>
      <c r="J863" s="10" t="s">
        <v>942</v>
      </c>
      <c r="K863" s="11" t="s">
        <v>3</v>
      </c>
      <c r="L863" s="68" t="s">
        <v>2141</v>
      </c>
    </row>
    <row r="864" spans="2:12" ht="45" x14ac:dyDescent="0.25">
      <c r="B864" s="1">
        <v>883</v>
      </c>
      <c r="C864" s="5" t="s">
        <v>1040</v>
      </c>
      <c r="D864" s="5" t="s">
        <v>294</v>
      </c>
      <c r="E864" s="40">
        <v>300.89999999999998</v>
      </c>
      <c r="F864" s="6">
        <v>300.89999999999998</v>
      </c>
      <c r="G864" s="7" t="s">
        <v>2095</v>
      </c>
      <c r="H864" s="8" t="s">
        <v>80</v>
      </c>
      <c r="I864" s="15" t="s">
        <v>19</v>
      </c>
      <c r="J864" s="10" t="s">
        <v>927</v>
      </c>
      <c r="K864" s="11" t="s">
        <v>3</v>
      </c>
      <c r="L864" s="68" t="s">
        <v>2142</v>
      </c>
    </row>
    <row r="865" spans="2:12" ht="45.75" x14ac:dyDescent="0.25">
      <c r="B865" s="1">
        <v>884</v>
      </c>
      <c r="C865" s="5" t="s">
        <v>2012</v>
      </c>
      <c r="D865" s="5" t="s">
        <v>2013</v>
      </c>
      <c r="E865" s="40" t="s">
        <v>2313</v>
      </c>
      <c r="F865" s="6">
        <v>1199.8800000000001</v>
      </c>
      <c r="G865" s="7" t="s">
        <v>2095</v>
      </c>
      <c r="H865" s="8" t="s">
        <v>80</v>
      </c>
      <c r="I865" s="15" t="s">
        <v>19</v>
      </c>
      <c r="J865" s="10" t="s">
        <v>2096</v>
      </c>
      <c r="K865" s="11" t="s">
        <v>7</v>
      </c>
      <c r="L865" s="68" t="s">
        <v>2312</v>
      </c>
    </row>
    <row r="866" spans="2:12" ht="90" x14ac:dyDescent="0.25">
      <c r="B866" s="5">
        <v>886</v>
      </c>
      <c r="C866" s="5" t="s">
        <v>2014</v>
      </c>
      <c r="D866" s="5" t="s">
        <v>2015</v>
      </c>
      <c r="E866" s="40" t="s">
        <v>2232</v>
      </c>
      <c r="F866" s="6">
        <v>94800</v>
      </c>
      <c r="G866" s="7" t="s">
        <v>2097</v>
      </c>
      <c r="H866" s="8" t="s">
        <v>80</v>
      </c>
      <c r="I866" s="15" t="s">
        <v>19</v>
      </c>
      <c r="J866" s="10" t="s">
        <v>918</v>
      </c>
      <c r="K866" s="13" t="s">
        <v>919</v>
      </c>
      <c r="L866" s="68" t="s">
        <v>2146</v>
      </c>
    </row>
    <row r="867" spans="2:12" ht="45" x14ac:dyDescent="0.25">
      <c r="B867" s="1">
        <v>887</v>
      </c>
      <c r="C867" s="5" t="s">
        <v>1279</v>
      </c>
      <c r="D867" s="5" t="s">
        <v>563</v>
      </c>
      <c r="E867" s="40" t="s">
        <v>2148</v>
      </c>
      <c r="F867" s="6">
        <v>1100</v>
      </c>
      <c r="G867" s="7" t="s">
        <v>2097</v>
      </c>
      <c r="H867" s="8" t="s">
        <v>80</v>
      </c>
      <c r="I867" s="15" t="s">
        <v>19</v>
      </c>
      <c r="J867" s="10" t="s">
        <v>943</v>
      </c>
      <c r="K867" s="11" t="s">
        <v>3</v>
      </c>
      <c r="L867" s="68" t="s">
        <v>2147</v>
      </c>
    </row>
    <row r="868" spans="2:12" ht="45" x14ac:dyDescent="0.25">
      <c r="B868" s="1">
        <v>888</v>
      </c>
      <c r="C868" s="5" t="s">
        <v>2016</v>
      </c>
      <c r="D868" s="5" t="s">
        <v>82</v>
      </c>
      <c r="E868" s="40">
        <v>412.5</v>
      </c>
      <c r="F868" s="6">
        <v>412.5</v>
      </c>
      <c r="G868" s="7" t="s">
        <v>2097</v>
      </c>
      <c r="H868" s="8" t="s">
        <v>80</v>
      </c>
      <c r="I868" s="15" t="s">
        <v>19</v>
      </c>
      <c r="J868" s="10" t="s">
        <v>944</v>
      </c>
      <c r="K868" s="11" t="s">
        <v>3</v>
      </c>
      <c r="L868" s="68" t="s">
        <v>2143</v>
      </c>
    </row>
    <row r="869" spans="2:12" ht="45.75" x14ac:dyDescent="0.25">
      <c r="B869" s="5">
        <v>889</v>
      </c>
      <c r="C869" s="5" t="s">
        <v>460</v>
      </c>
      <c r="D869" s="5" t="s">
        <v>2017</v>
      </c>
      <c r="E869" s="40">
        <v>30</v>
      </c>
      <c r="F869" s="6">
        <v>30</v>
      </c>
      <c r="G869" s="7" t="s">
        <v>2097</v>
      </c>
      <c r="H869" s="8" t="s">
        <v>80</v>
      </c>
      <c r="I869" s="15" t="s">
        <v>19</v>
      </c>
      <c r="J869" s="10" t="s">
        <v>1143</v>
      </c>
      <c r="K869" s="11" t="s">
        <v>7</v>
      </c>
      <c r="L869" s="68" t="s">
        <v>2144</v>
      </c>
    </row>
    <row r="870" spans="2:12" ht="45" x14ac:dyDescent="0.25">
      <c r="B870" s="5">
        <v>890</v>
      </c>
      <c r="C870" s="5" t="s">
        <v>2012</v>
      </c>
      <c r="D870" s="5" t="s">
        <v>2018</v>
      </c>
      <c r="E870" s="40" t="s">
        <v>2315</v>
      </c>
      <c r="F870" s="6">
        <v>2479.98</v>
      </c>
      <c r="G870" s="7" t="s">
        <v>2097</v>
      </c>
      <c r="H870" s="8" t="s">
        <v>80</v>
      </c>
      <c r="I870" s="15" t="s">
        <v>19</v>
      </c>
      <c r="J870" s="10" t="s">
        <v>2098</v>
      </c>
      <c r="K870" s="13" t="s">
        <v>10</v>
      </c>
      <c r="L870" s="68" t="s">
        <v>2145</v>
      </c>
    </row>
    <row r="871" spans="2:12" ht="90" x14ac:dyDescent="0.25">
      <c r="B871" s="1">
        <v>892</v>
      </c>
      <c r="C871" s="5" t="s">
        <v>2162</v>
      </c>
      <c r="D871" s="5" t="s">
        <v>2163</v>
      </c>
      <c r="E871" s="40" t="s">
        <v>2224</v>
      </c>
      <c r="F871" s="6">
        <v>47340</v>
      </c>
      <c r="G871" s="7" t="s">
        <v>2167</v>
      </c>
      <c r="H871" s="8" t="s">
        <v>80</v>
      </c>
      <c r="I871" s="15" t="s">
        <v>19</v>
      </c>
      <c r="J871" s="10" t="s">
        <v>918</v>
      </c>
      <c r="K871" s="13" t="s">
        <v>919</v>
      </c>
      <c r="L871" s="68" t="s">
        <v>2168</v>
      </c>
    </row>
    <row r="872" spans="2:12" ht="45" x14ac:dyDescent="0.25">
      <c r="B872" s="5">
        <v>893</v>
      </c>
      <c r="C872" s="5" t="s">
        <v>454</v>
      </c>
      <c r="D872" s="5" t="s">
        <v>563</v>
      </c>
      <c r="E872" s="40" t="s">
        <v>1985</v>
      </c>
      <c r="F872" s="6">
        <v>800</v>
      </c>
      <c r="G872" s="7" t="s">
        <v>2169</v>
      </c>
      <c r="H872" s="8" t="s">
        <v>80</v>
      </c>
      <c r="I872" s="15" t="s">
        <v>19</v>
      </c>
      <c r="J872" s="10" t="s">
        <v>943</v>
      </c>
      <c r="K872" s="15" t="s">
        <v>3</v>
      </c>
      <c r="L872" s="68" t="s">
        <v>2170</v>
      </c>
    </row>
    <row r="873" spans="2:12" ht="45" x14ac:dyDescent="0.25">
      <c r="B873" s="5">
        <v>894</v>
      </c>
      <c r="C873" s="5" t="s">
        <v>2164</v>
      </c>
      <c r="D873" s="5" t="s">
        <v>84</v>
      </c>
      <c r="E873" s="40" t="s">
        <v>2308</v>
      </c>
      <c r="F873" s="6">
        <v>220</v>
      </c>
      <c r="G873" s="7" t="s">
        <v>2169</v>
      </c>
      <c r="H873" s="8" t="s">
        <v>80</v>
      </c>
      <c r="I873" s="15" t="s">
        <v>19</v>
      </c>
      <c r="J873" s="10" t="s">
        <v>942</v>
      </c>
      <c r="K873" s="15" t="s">
        <v>3</v>
      </c>
      <c r="L873" s="68" t="s">
        <v>2171</v>
      </c>
    </row>
    <row r="874" spans="2:12" ht="45" x14ac:dyDescent="0.25">
      <c r="B874" s="1">
        <v>895</v>
      </c>
      <c r="C874" s="5" t="s">
        <v>458</v>
      </c>
      <c r="D874" s="5" t="s">
        <v>88</v>
      </c>
      <c r="E874" s="40" t="s">
        <v>2300</v>
      </c>
      <c r="F874" s="6">
        <v>360</v>
      </c>
      <c r="G874" s="7" t="s">
        <v>2169</v>
      </c>
      <c r="H874" s="8" t="s">
        <v>80</v>
      </c>
      <c r="I874" s="15" t="s">
        <v>19</v>
      </c>
      <c r="J874" s="10" t="s">
        <v>927</v>
      </c>
      <c r="K874" s="15" t="s">
        <v>3</v>
      </c>
      <c r="L874" s="68" t="s">
        <v>2172</v>
      </c>
    </row>
    <row r="875" spans="2:12" ht="45" x14ac:dyDescent="0.25">
      <c r="B875" s="5">
        <v>898</v>
      </c>
      <c r="C875" s="5" t="s">
        <v>458</v>
      </c>
      <c r="D875" s="5" t="s">
        <v>88</v>
      </c>
      <c r="E875" s="40">
        <v>239</v>
      </c>
      <c r="F875" s="6">
        <v>350</v>
      </c>
      <c r="G875" s="7" t="s">
        <v>2173</v>
      </c>
      <c r="H875" s="8" t="s">
        <v>80</v>
      </c>
      <c r="I875" s="15" t="s">
        <v>19</v>
      </c>
      <c r="J875" s="10" t="s">
        <v>927</v>
      </c>
      <c r="K875" s="15" t="s">
        <v>3</v>
      </c>
      <c r="L875" s="68" t="s">
        <v>2299</v>
      </c>
    </row>
    <row r="876" spans="2:12" ht="45" x14ac:dyDescent="0.25">
      <c r="B876" s="1">
        <v>899</v>
      </c>
      <c r="C876" s="5" t="s">
        <v>2006</v>
      </c>
      <c r="D876" s="5" t="s">
        <v>88</v>
      </c>
      <c r="E876" s="40" t="s">
        <v>2223</v>
      </c>
      <c r="F876" s="6">
        <v>280</v>
      </c>
      <c r="G876" s="7" t="s">
        <v>2173</v>
      </c>
      <c r="H876" s="8" t="s">
        <v>80</v>
      </c>
      <c r="I876" s="15" t="s">
        <v>19</v>
      </c>
      <c r="J876" s="10" t="s">
        <v>927</v>
      </c>
      <c r="K876" s="15" t="s">
        <v>3</v>
      </c>
      <c r="L876" s="68" t="s">
        <v>2222</v>
      </c>
    </row>
    <row r="877" spans="2:12" ht="45" x14ac:dyDescent="0.25">
      <c r="B877" s="1">
        <v>900</v>
      </c>
      <c r="C877" s="5" t="s">
        <v>838</v>
      </c>
      <c r="D877" s="5" t="s">
        <v>88</v>
      </c>
      <c r="E877" s="40">
        <v>279.04000000000002</v>
      </c>
      <c r="F877" s="6">
        <v>280</v>
      </c>
      <c r="G877" s="7" t="s">
        <v>2173</v>
      </c>
      <c r="H877" s="8" t="s">
        <v>80</v>
      </c>
      <c r="I877" s="15" t="s">
        <v>19</v>
      </c>
      <c r="J877" s="10" t="s">
        <v>927</v>
      </c>
      <c r="K877" s="15" t="s">
        <v>3</v>
      </c>
      <c r="L877" s="68" t="s">
        <v>2216</v>
      </c>
    </row>
    <row r="878" spans="2:12" ht="45" x14ac:dyDescent="0.25">
      <c r="B878" s="5">
        <v>901</v>
      </c>
      <c r="C878" s="5" t="s">
        <v>1268</v>
      </c>
      <c r="D878" s="5" t="s">
        <v>88</v>
      </c>
      <c r="E878" s="40">
        <v>277.75</v>
      </c>
      <c r="F878" s="6">
        <v>280</v>
      </c>
      <c r="G878" s="7" t="s">
        <v>2173</v>
      </c>
      <c r="H878" s="8" t="s">
        <v>80</v>
      </c>
      <c r="I878" s="15" t="s">
        <v>19</v>
      </c>
      <c r="J878" s="10" t="s">
        <v>927</v>
      </c>
      <c r="K878" s="15" t="s">
        <v>3</v>
      </c>
      <c r="L878" s="68" t="s">
        <v>2217</v>
      </c>
    </row>
    <row r="879" spans="2:12" ht="45" x14ac:dyDescent="0.25">
      <c r="B879" s="5">
        <v>902</v>
      </c>
      <c r="C879" s="5" t="s">
        <v>1021</v>
      </c>
      <c r="D879" s="5" t="s">
        <v>88</v>
      </c>
      <c r="E879" s="40">
        <v>280</v>
      </c>
      <c r="F879" s="6">
        <v>280</v>
      </c>
      <c r="G879" s="7" t="s">
        <v>2173</v>
      </c>
      <c r="H879" s="8" t="s">
        <v>80</v>
      </c>
      <c r="I879" s="15" t="s">
        <v>19</v>
      </c>
      <c r="J879" s="10" t="s">
        <v>927</v>
      </c>
      <c r="K879" s="15" t="s">
        <v>3</v>
      </c>
      <c r="L879" s="68" t="s">
        <v>2218</v>
      </c>
    </row>
    <row r="880" spans="2:12" ht="45" x14ac:dyDescent="0.25">
      <c r="B880" s="1">
        <v>903</v>
      </c>
      <c r="C880" s="5" t="s">
        <v>637</v>
      </c>
      <c r="D880" s="5" t="s">
        <v>88</v>
      </c>
      <c r="E880" s="78"/>
      <c r="F880" s="6">
        <v>280</v>
      </c>
      <c r="G880" s="7" t="s">
        <v>2173</v>
      </c>
      <c r="H880" s="8" t="s">
        <v>80</v>
      </c>
      <c r="I880" s="15" t="s">
        <v>19</v>
      </c>
      <c r="J880" s="10" t="s">
        <v>927</v>
      </c>
      <c r="K880" s="15" t="s">
        <v>3</v>
      </c>
      <c r="L880" s="68" t="s">
        <v>2219</v>
      </c>
    </row>
    <row r="881" spans="2:12" ht="45" x14ac:dyDescent="0.25">
      <c r="B881" s="1">
        <v>904</v>
      </c>
      <c r="C881" s="5" t="s">
        <v>2165</v>
      </c>
      <c r="D881" s="5" t="s">
        <v>88</v>
      </c>
      <c r="E881" s="40">
        <v>279.95</v>
      </c>
      <c r="F881" s="6">
        <v>280</v>
      </c>
      <c r="G881" s="7" t="s">
        <v>2173</v>
      </c>
      <c r="H881" s="8" t="s">
        <v>80</v>
      </c>
      <c r="I881" s="15" t="s">
        <v>19</v>
      </c>
      <c r="J881" s="10" t="s">
        <v>927</v>
      </c>
      <c r="K881" s="15" t="s">
        <v>3</v>
      </c>
      <c r="L881" s="68" t="s">
        <v>2220</v>
      </c>
    </row>
    <row r="882" spans="2:12" ht="45" x14ac:dyDescent="0.25">
      <c r="B882" s="5">
        <v>905</v>
      </c>
      <c r="C882" s="5" t="s">
        <v>850</v>
      </c>
      <c r="D882" s="5" t="s">
        <v>88</v>
      </c>
      <c r="E882" s="40">
        <v>347.6</v>
      </c>
      <c r="F882" s="6">
        <v>350</v>
      </c>
      <c r="G882" s="7" t="s">
        <v>2173</v>
      </c>
      <c r="H882" s="8" t="s">
        <v>80</v>
      </c>
      <c r="I882" s="15" t="s">
        <v>19</v>
      </c>
      <c r="J882" s="10" t="s">
        <v>927</v>
      </c>
      <c r="K882" s="15" t="s">
        <v>3</v>
      </c>
      <c r="L882" s="68" t="s">
        <v>2221</v>
      </c>
    </row>
    <row r="883" spans="2:12" ht="45" x14ac:dyDescent="0.25">
      <c r="B883" s="5">
        <v>906</v>
      </c>
      <c r="C883" s="5" t="s">
        <v>851</v>
      </c>
      <c r="D883" s="5" t="s">
        <v>84</v>
      </c>
      <c r="E883" s="40">
        <v>700</v>
      </c>
      <c r="F883" s="6">
        <v>700</v>
      </c>
      <c r="G883" s="7" t="s">
        <v>2173</v>
      </c>
      <c r="H883" s="8" t="s">
        <v>80</v>
      </c>
      <c r="I883" s="15" t="s">
        <v>19</v>
      </c>
      <c r="J883" s="10" t="s">
        <v>942</v>
      </c>
      <c r="K883" s="15" t="s">
        <v>3</v>
      </c>
      <c r="L883" s="68" t="s">
        <v>2214</v>
      </c>
    </row>
    <row r="884" spans="2:12" ht="45" x14ac:dyDescent="0.25">
      <c r="B884" s="1">
        <v>907</v>
      </c>
      <c r="C884" s="5" t="s">
        <v>166</v>
      </c>
      <c r="D884" s="5" t="s">
        <v>563</v>
      </c>
      <c r="E884" s="40" t="s">
        <v>2225</v>
      </c>
      <c r="F884" s="6">
        <v>5400</v>
      </c>
      <c r="G884" s="7" t="s">
        <v>2174</v>
      </c>
      <c r="H884" s="8" t="s">
        <v>80</v>
      </c>
      <c r="I884" s="15" t="s">
        <v>19</v>
      </c>
      <c r="J884" s="10" t="s">
        <v>943</v>
      </c>
      <c r="K884" s="15" t="s">
        <v>3</v>
      </c>
      <c r="L884" s="68" t="s">
        <v>2215</v>
      </c>
    </row>
    <row r="885" spans="2:12" ht="45" x14ac:dyDescent="0.25">
      <c r="B885" s="1">
        <v>908</v>
      </c>
      <c r="C885" s="5" t="s">
        <v>167</v>
      </c>
      <c r="D885" s="5" t="s">
        <v>82</v>
      </c>
      <c r="E885" s="40" t="s">
        <v>2227</v>
      </c>
      <c r="F885" s="6">
        <v>2925</v>
      </c>
      <c r="G885" s="7" t="s">
        <v>2174</v>
      </c>
      <c r="H885" s="8" t="s">
        <v>80</v>
      </c>
      <c r="I885" s="15" t="s">
        <v>19</v>
      </c>
      <c r="J885" s="10" t="s">
        <v>944</v>
      </c>
      <c r="K885" s="15" t="s">
        <v>3</v>
      </c>
      <c r="L885" s="68" t="s">
        <v>2226</v>
      </c>
    </row>
    <row r="886" spans="2:12" ht="45" x14ac:dyDescent="0.25">
      <c r="B886" s="5">
        <v>909</v>
      </c>
      <c r="C886" s="5" t="s">
        <v>2166</v>
      </c>
      <c r="D886" s="5" t="s">
        <v>866</v>
      </c>
      <c r="E886" s="40" t="s">
        <v>2176</v>
      </c>
      <c r="F886" s="6">
        <v>37</v>
      </c>
      <c r="G886" s="7" t="s">
        <v>2174</v>
      </c>
      <c r="H886" s="8" t="s">
        <v>80</v>
      </c>
      <c r="I886" s="15" t="s">
        <v>19</v>
      </c>
      <c r="J886" s="10" t="s">
        <v>933</v>
      </c>
      <c r="K886" s="13" t="s">
        <v>10</v>
      </c>
      <c r="L886" s="68" t="s">
        <v>2175</v>
      </c>
    </row>
    <row r="887" spans="2:12" ht="22.5" x14ac:dyDescent="0.25">
      <c r="B887" s="5">
        <v>910</v>
      </c>
      <c r="C887" s="5" t="s">
        <v>2177</v>
      </c>
      <c r="D887" s="5" t="s">
        <v>2178</v>
      </c>
      <c r="E887" s="78">
        <v>1300</v>
      </c>
      <c r="F887" s="6">
        <v>1300</v>
      </c>
      <c r="G887" s="7" t="s">
        <v>2192</v>
      </c>
      <c r="H887" s="8" t="s">
        <v>80</v>
      </c>
      <c r="I887" s="15" t="s">
        <v>11</v>
      </c>
      <c r="J887" s="10" t="s">
        <v>2193</v>
      </c>
      <c r="K887" s="15" t="s">
        <v>2194</v>
      </c>
      <c r="L887" s="68"/>
    </row>
    <row r="888" spans="2:12" ht="45" x14ac:dyDescent="0.25">
      <c r="B888" s="1">
        <v>911</v>
      </c>
      <c r="C888" s="5" t="s">
        <v>92</v>
      </c>
      <c r="D888" s="5" t="s">
        <v>294</v>
      </c>
      <c r="E888" s="40" t="s">
        <v>1422</v>
      </c>
      <c r="F888" s="6">
        <v>1000</v>
      </c>
      <c r="G888" s="7" t="s">
        <v>2195</v>
      </c>
      <c r="H888" s="8" t="s">
        <v>80</v>
      </c>
      <c r="I888" s="15" t="s">
        <v>19</v>
      </c>
      <c r="J888" s="10" t="s">
        <v>927</v>
      </c>
      <c r="K888" s="15" t="s">
        <v>3</v>
      </c>
      <c r="L888" s="68" t="s">
        <v>2196</v>
      </c>
    </row>
    <row r="889" spans="2:12" ht="45" x14ac:dyDescent="0.25">
      <c r="B889" s="1">
        <v>912</v>
      </c>
      <c r="C889" s="5" t="s">
        <v>2179</v>
      </c>
      <c r="D889" s="5" t="s">
        <v>88</v>
      </c>
      <c r="E889" s="40" t="s">
        <v>601</v>
      </c>
      <c r="F889" s="6">
        <v>2400</v>
      </c>
      <c r="G889" s="7" t="s">
        <v>2195</v>
      </c>
      <c r="H889" s="8" t="s">
        <v>80</v>
      </c>
      <c r="I889" s="15" t="s">
        <v>19</v>
      </c>
      <c r="J889" s="10" t="s">
        <v>927</v>
      </c>
      <c r="K889" s="15" t="s">
        <v>3</v>
      </c>
      <c r="L889" s="68" t="s">
        <v>2197</v>
      </c>
    </row>
    <row r="890" spans="2:12" ht="45" x14ac:dyDescent="0.25">
      <c r="B890" s="5">
        <v>913</v>
      </c>
      <c r="C890" s="5" t="s">
        <v>2180</v>
      </c>
      <c r="D890" s="5" t="s">
        <v>84</v>
      </c>
      <c r="E890" s="40" t="s">
        <v>2301</v>
      </c>
      <c r="F890" s="6">
        <v>1215.4000000000001</v>
      </c>
      <c r="G890" s="7" t="s">
        <v>2198</v>
      </c>
      <c r="H890" s="8" t="s">
        <v>80</v>
      </c>
      <c r="I890" s="15" t="s">
        <v>19</v>
      </c>
      <c r="J890" s="10" t="s">
        <v>942</v>
      </c>
      <c r="K890" s="15" t="s">
        <v>3</v>
      </c>
      <c r="L890" s="68" t="s">
        <v>2233</v>
      </c>
    </row>
    <row r="891" spans="2:12" ht="45" x14ac:dyDescent="0.25">
      <c r="B891" s="5">
        <v>914</v>
      </c>
      <c r="C891" s="5" t="s">
        <v>1605</v>
      </c>
      <c r="D891" s="5" t="s">
        <v>84</v>
      </c>
      <c r="E891" s="40" t="s">
        <v>2298</v>
      </c>
      <c r="F891" s="6">
        <v>1190</v>
      </c>
      <c r="G891" s="7" t="s">
        <v>2198</v>
      </c>
      <c r="H891" s="8" t="s">
        <v>80</v>
      </c>
      <c r="I891" s="15" t="s">
        <v>19</v>
      </c>
      <c r="J891" s="10" t="s">
        <v>942</v>
      </c>
      <c r="K891" s="15" t="s">
        <v>3</v>
      </c>
      <c r="L891" s="68" t="s">
        <v>2234</v>
      </c>
    </row>
    <row r="892" spans="2:12" ht="45" x14ac:dyDescent="0.25">
      <c r="B892" s="1">
        <v>916</v>
      </c>
      <c r="C892" s="5" t="s">
        <v>852</v>
      </c>
      <c r="D892" s="5" t="s">
        <v>88</v>
      </c>
      <c r="E892" s="40">
        <v>279.83999999999997</v>
      </c>
      <c r="F892" s="6">
        <v>280</v>
      </c>
      <c r="G892" s="7" t="s">
        <v>2198</v>
      </c>
      <c r="H892" s="8" t="s">
        <v>80</v>
      </c>
      <c r="I892" s="15" t="s">
        <v>19</v>
      </c>
      <c r="J892" s="10" t="s">
        <v>927</v>
      </c>
      <c r="K892" s="15" t="s">
        <v>3</v>
      </c>
      <c r="L892" s="68" t="s">
        <v>2199</v>
      </c>
    </row>
    <row r="893" spans="2:12" ht="45" x14ac:dyDescent="0.25">
      <c r="B893" s="5">
        <v>917</v>
      </c>
      <c r="C893" s="5" t="s">
        <v>668</v>
      </c>
      <c r="D893" s="5" t="s">
        <v>88</v>
      </c>
      <c r="E893" s="40" t="s">
        <v>771</v>
      </c>
      <c r="F893" s="6">
        <v>350</v>
      </c>
      <c r="G893" s="7" t="s">
        <v>2198</v>
      </c>
      <c r="H893" s="8" t="s">
        <v>80</v>
      </c>
      <c r="I893" s="15" t="s">
        <v>19</v>
      </c>
      <c r="J893" s="10" t="s">
        <v>927</v>
      </c>
      <c r="K893" s="15" t="s">
        <v>3</v>
      </c>
      <c r="L893" s="68" t="s">
        <v>2200</v>
      </c>
    </row>
    <row r="894" spans="2:12" ht="45" x14ac:dyDescent="0.25">
      <c r="B894" s="5">
        <v>918</v>
      </c>
      <c r="C894" s="5" t="s">
        <v>1988</v>
      </c>
      <c r="D894" s="5" t="s">
        <v>88</v>
      </c>
      <c r="E894" s="40" t="s">
        <v>2371</v>
      </c>
      <c r="F894" s="6">
        <v>280</v>
      </c>
      <c r="G894" s="7" t="s">
        <v>2198</v>
      </c>
      <c r="H894" s="8" t="s">
        <v>80</v>
      </c>
      <c r="I894" s="15" t="s">
        <v>19</v>
      </c>
      <c r="J894" s="10" t="s">
        <v>927</v>
      </c>
      <c r="K894" s="15" t="s">
        <v>3</v>
      </c>
      <c r="L894" s="68" t="s">
        <v>2235</v>
      </c>
    </row>
    <row r="895" spans="2:12" ht="45" x14ac:dyDescent="0.25">
      <c r="B895" s="1">
        <v>919</v>
      </c>
      <c r="C895" s="5" t="s">
        <v>2181</v>
      </c>
      <c r="D895" s="5" t="s">
        <v>82</v>
      </c>
      <c r="E895" s="40" t="s">
        <v>2231</v>
      </c>
      <c r="F895" s="6">
        <v>1325</v>
      </c>
      <c r="G895" s="7" t="s">
        <v>2201</v>
      </c>
      <c r="H895" s="8" t="s">
        <v>80</v>
      </c>
      <c r="I895" s="15" t="s">
        <v>19</v>
      </c>
      <c r="J895" s="10" t="s">
        <v>944</v>
      </c>
      <c r="K895" s="15" t="s">
        <v>3</v>
      </c>
      <c r="L895" s="68" t="s">
        <v>2230</v>
      </c>
    </row>
    <row r="896" spans="2:12" ht="45" x14ac:dyDescent="0.25">
      <c r="B896" s="1">
        <v>920</v>
      </c>
      <c r="C896" s="5" t="s">
        <v>668</v>
      </c>
      <c r="D896" s="5" t="s">
        <v>88</v>
      </c>
      <c r="E896" s="40">
        <v>119.9</v>
      </c>
      <c r="F896" s="6">
        <v>120</v>
      </c>
      <c r="G896" s="7" t="s">
        <v>2201</v>
      </c>
      <c r="H896" s="8" t="s">
        <v>80</v>
      </c>
      <c r="I896" s="15" t="s">
        <v>19</v>
      </c>
      <c r="J896" s="10" t="s">
        <v>927</v>
      </c>
      <c r="K896" s="15" t="s">
        <v>3</v>
      </c>
      <c r="L896" s="68" t="s">
        <v>2236</v>
      </c>
    </row>
    <row r="897" spans="2:12" ht="45" x14ac:dyDescent="0.25">
      <c r="B897" s="5">
        <v>921</v>
      </c>
      <c r="C897" s="5" t="s">
        <v>509</v>
      </c>
      <c r="D897" s="5" t="s">
        <v>88</v>
      </c>
      <c r="E897" s="40">
        <v>100</v>
      </c>
      <c r="F897" s="6">
        <v>100</v>
      </c>
      <c r="G897" s="7" t="s">
        <v>2201</v>
      </c>
      <c r="H897" s="8" t="s">
        <v>80</v>
      </c>
      <c r="I897" s="15" t="s">
        <v>19</v>
      </c>
      <c r="J897" s="10" t="s">
        <v>927</v>
      </c>
      <c r="K897" s="15" t="s">
        <v>3</v>
      </c>
      <c r="L897" s="68" t="s">
        <v>2237</v>
      </c>
    </row>
    <row r="898" spans="2:12" ht="45" x14ac:dyDescent="0.25">
      <c r="B898" s="5">
        <v>922</v>
      </c>
      <c r="C898" s="5" t="s">
        <v>1058</v>
      </c>
      <c r="D898" s="5" t="s">
        <v>563</v>
      </c>
      <c r="E898" s="40" t="s">
        <v>2302</v>
      </c>
      <c r="F898" s="6">
        <v>1600</v>
      </c>
      <c r="G898" s="7" t="s">
        <v>2201</v>
      </c>
      <c r="H898" s="8" t="s">
        <v>80</v>
      </c>
      <c r="I898" s="15" t="s">
        <v>19</v>
      </c>
      <c r="J898" s="10" t="s">
        <v>943</v>
      </c>
      <c r="K898" s="15" t="s">
        <v>3</v>
      </c>
      <c r="L898" s="68" t="s">
        <v>2238</v>
      </c>
    </row>
    <row r="899" spans="2:12" ht="45" x14ac:dyDescent="0.25">
      <c r="B899" s="5">
        <v>925</v>
      </c>
      <c r="C899" s="5" t="s">
        <v>646</v>
      </c>
      <c r="D899" s="5" t="s">
        <v>103</v>
      </c>
      <c r="E899" s="40" t="s">
        <v>2307</v>
      </c>
      <c r="F899" s="6">
        <v>2651</v>
      </c>
      <c r="G899" s="7" t="s">
        <v>2201</v>
      </c>
      <c r="H899" s="8" t="s">
        <v>80</v>
      </c>
      <c r="I899" s="15" t="s">
        <v>19</v>
      </c>
      <c r="J899" s="10" t="s">
        <v>946</v>
      </c>
      <c r="K899" s="15" t="s">
        <v>3</v>
      </c>
      <c r="L899" s="68" t="s">
        <v>2239</v>
      </c>
    </row>
    <row r="900" spans="2:12" ht="45" x14ac:dyDescent="0.25">
      <c r="B900" s="5">
        <v>926</v>
      </c>
      <c r="C900" s="5" t="s">
        <v>102</v>
      </c>
      <c r="D900" s="5" t="s">
        <v>103</v>
      </c>
      <c r="E900" s="40" t="s">
        <v>2304</v>
      </c>
      <c r="F900" s="6">
        <v>6171</v>
      </c>
      <c r="G900" s="7" t="s">
        <v>2201</v>
      </c>
      <c r="H900" s="8" t="s">
        <v>80</v>
      </c>
      <c r="I900" s="15" t="s">
        <v>19</v>
      </c>
      <c r="J900" s="10" t="s">
        <v>946</v>
      </c>
      <c r="K900" s="15" t="s">
        <v>3</v>
      </c>
      <c r="L900" s="68" t="s">
        <v>2240</v>
      </c>
    </row>
    <row r="901" spans="2:12" ht="45" x14ac:dyDescent="0.25">
      <c r="B901" s="1">
        <v>927</v>
      </c>
      <c r="C901" s="5" t="s">
        <v>102</v>
      </c>
      <c r="D901" s="5" t="s">
        <v>103</v>
      </c>
      <c r="E901" s="40" t="s">
        <v>2305</v>
      </c>
      <c r="F901" s="6">
        <v>3400</v>
      </c>
      <c r="G901" s="7" t="s">
        <v>2201</v>
      </c>
      <c r="H901" s="8" t="s">
        <v>80</v>
      </c>
      <c r="I901" s="15" t="s">
        <v>19</v>
      </c>
      <c r="J901" s="10" t="s">
        <v>946</v>
      </c>
      <c r="K901" s="15" t="s">
        <v>3</v>
      </c>
      <c r="L901" s="68" t="s">
        <v>2241</v>
      </c>
    </row>
    <row r="902" spans="2:12" ht="22.5" x14ac:dyDescent="0.25">
      <c r="B902" s="1">
        <v>928</v>
      </c>
      <c r="C902" s="5" t="s">
        <v>2182</v>
      </c>
      <c r="D902" s="5" t="s">
        <v>2183</v>
      </c>
      <c r="E902" s="42">
        <v>17900</v>
      </c>
      <c r="F902" s="6">
        <v>17900</v>
      </c>
      <c r="G902" s="7" t="s">
        <v>2202</v>
      </c>
      <c r="H902" s="8" t="s">
        <v>80</v>
      </c>
      <c r="I902" s="15" t="s">
        <v>11</v>
      </c>
      <c r="J902" s="10" t="s">
        <v>1371</v>
      </c>
      <c r="K902" s="15" t="s">
        <v>2203</v>
      </c>
      <c r="L902" s="68"/>
    </row>
    <row r="903" spans="2:12" ht="101.25" x14ac:dyDescent="0.25">
      <c r="B903" s="5">
        <v>929</v>
      </c>
      <c r="C903" s="5" t="s">
        <v>2184</v>
      </c>
      <c r="D903" s="5" t="s">
        <v>1286</v>
      </c>
      <c r="E903" s="40" t="s">
        <v>438</v>
      </c>
      <c r="F903" s="6">
        <v>1500</v>
      </c>
      <c r="G903" s="7" t="s">
        <v>2204</v>
      </c>
      <c r="H903" s="8" t="s">
        <v>80</v>
      </c>
      <c r="I903" s="15" t="s">
        <v>19</v>
      </c>
      <c r="J903" s="10" t="s">
        <v>929</v>
      </c>
      <c r="K903" s="13" t="s">
        <v>281</v>
      </c>
      <c r="L903" s="68" t="s">
        <v>2242</v>
      </c>
    </row>
    <row r="904" spans="2:12" ht="45" x14ac:dyDescent="0.25">
      <c r="B904" s="5">
        <v>930</v>
      </c>
      <c r="C904" s="5" t="s">
        <v>2185</v>
      </c>
      <c r="D904" s="5" t="s">
        <v>88</v>
      </c>
      <c r="E904" s="40">
        <v>240</v>
      </c>
      <c r="F904" s="6">
        <v>350</v>
      </c>
      <c r="G904" s="7" t="s">
        <v>2205</v>
      </c>
      <c r="H904" s="8" t="s">
        <v>80</v>
      </c>
      <c r="I904" s="15" t="s">
        <v>19</v>
      </c>
      <c r="J904" s="10" t="s">
        <v>927</v>
      </c>
      <c r="K904" s="15" t="s">
        <v>3</v>
      </c>
      <c r="L904" s="68" t="s">
        <v>2243</v>
      </c>
    </row>
    <row r="905" spans="2:12" ht="45" x14ac:dyDescent="0.25">
      <c r="B905" s="1">
        <v>931</v>
      </c>
      <c r="C905" s="5" t="s">
        <v>1563</v>
      </c>
      <c r="D905" s="5" t="s">
        <v>82</v>
      </c>
      <c r="E905" s="40" t="s">
        <v>2310</v>
      </c>
      <c r="F905" s="6">
        <v>2850</v>
      </c>
      <c r="G905" s="7" t="s">
        <v>2205</v>
      </c>
      <c r="H905" s="8" t="s">
        <v>80</v>
      </c>
      <c r="I905" s="15" t="s">
        <v>19</v>
      </c>
      <c r="J905" s="10" t="s">
        <v>944</v>
      </c>
      <c r="K905" s="15" t="s">
        <v>3</v>
      </c>
      <c r="L905" s="68" t="s">
        <v>2244</v>
      </c>
    </row>
    <row r="906" spans="2:12" ht="45" x14ac:dyDescent="0.25">
      <c r="B906" s="5">
        <v>934</v>
      </c>
      <c r="C906" s="5" t="s">
        <v>851</v>
      </c>
      <c r="D906" s="5" t="s">
        <v>84</v>
      </c>
      <c r="E906" s="40">
        <v>700</v>
      </c>
      <c r="F906" s="6">
        <v>700</v>
      </c>
      <c r="G906" s="7" t="s">
        <v>2205</v>
      </c>
      <c r="H906" s="8" t="s">
        <v>80</v>
      </c>
      <c r="I906" s="15" t="s">
        <v>19</v>
      </c>
      <c r="J906" s="10" t="s">
        <v>942</v>
      </c>
      <c r="K906" s="15" t="s">
        <v>3</v>
      </c>
      <c r="L906" s="68" t="s">
        <v>2245</v>
      </c>
    </row>
    <row r="907" spans="2:12" ht="45" x14ac:dyDescent="0.25">
      <c r="B907" s="1">
        <v>935</v>
      </c>
      <c r="C907" s="5" t="s">
        <v>458</v>
      </c>
      <c r="D907" s="5" t="s">
        <v>88</v>
      </c>
      <c r="E907" s="40" t="s">
        <v>2223</v>
      </c>
      <c r="F907" s="6">
        <v>350</v>
      </c>
      <c r="G907" s="7" t="s">
        <v>2205</v>
      </c>
      <c r="H907" s="8" t="s">
        <v>80</v>
      </c>
      <c r="I907" s="15" t="s">
        <v>19</v>
      </c>
      <c r="J907" s="10" t="s">
        <v>927</v>
      </c>
      <c r="K907" s="15" t="s">
        <v>3</v>
      </c>
      <c r="L907" s="68" t="s">
        <v>2246</v>
      </c>
    </row>
    <row r="908" spans="2:12" ht="45" x14ac:dyDescent="0.25">
      <c r="B908" s="1">
        <v>936</v>
      </c>
      <c r="C908" s="5" t="s">
        <v>2187</v>
      </c>
      <c r="D908" s="5" t="s">
        <v>88</v>
      </c>
      <c r="E908" s="40">
        <v>266</v>
      </c>
      <c r="F908" s="6">
        <v>350</v>
      </c>
      <c r="G908" s="7" t="s">
        <v>2205</v>
      </c>
      <c r="H908" s="8" t="s">
        <v>80</v>
      </c>
      <c r="I908" s="15" t="s">
        <v>19</v>
      </c>
      <c r="J908" s="10" t="s">
        <v>927</v>
      </c>
      <c r="K908" s="15" t="s">
        <v>3</v>
      </c>
      <c r="L908" s="68" t="s">
        <v>2247</v>
      </c>
    </row>
    <row r="909" spans="2:12" ht="45" x14ac:dyDescent="0.25">
      <c r="B909" s="5">
        <v>937</v>
      </c>
      <c r="C909" s="5" t="s">
        <v>850</v>
      </c>
      <c r="D909" s="5" t="s">
        <v>88</v>
      </c>
      <c r="E909" s="40">
        <v>626.45000000000005</v>
      </c>
      <c r="F909" s="6">
        <v>770</v>
      </c>
      <c r="G909" s="7" t="s">
        <v>2205</v>
      </c>
      <c r="H909" s="8" t="s">
        <v>80</v>
      </c>
      <c r="I909" s="15" t="s">
        <v>19</v>
      </c>
      <c r="J909" s="10" t="s">
        <v>927</v>
      </c>
      <c r="K909" s="15" t="s">
        <v>3</v>
      </c>
      <c r="L909" s="68" t="s">
        <v>2248</v>
      </c>
    </row>
    <row r="910" spans="2:12" ht="45" x14ac:dyDescent="0.25">
      <c r="B910" s="5">
        <v>938</v>
      </c>
      <c r="C910" s="5" t="s">
        <v>164</v>
      </c>
      <c r="D910" s="5" t="s">
        <v>88</v>
      </c>
      <c r="E910" s="40">
        <v>454.2</v>
      </c>
      <c r="F910" s="6">
        <v>1190</v>
      </c>
      <c r="G910" s="7" t="s">
        <v>2205</v>
      </c>
      <c r="H910" s="8" t="s">
        <v>80</v>
      </c>
      <c r="I910" s="15" t="s">
        <v>19</v>
      </c>
      <c r="J910" s="10" t="s">
        <v>927</v>
      </c>
      <c r="K910" s="15" t="s">
        <v>3</v>
      </c>
      <c r="L910" s="68" t="s">
        <v>2249</v>
      </c>
    </row>
    <row r="911" spans="2:12" ht="45" x14ac:dyDescent="0.25">
      <c r="B911" s="1">
        <v>939</v>
      </c>
      <c r="C911" s="5" t="s">
        <v>614</v>
      </c>
      <c r="D911" s="5" t="s">
        <v>88</v>
      </c>
      <c r="E911" s="40">
        <v>187</v>
      </c>
      <c r="F911" s="6">
        <v>350</v>
      </c>
      <c r="G911" s="7" t="s">
        <v>2205</v>
      </c>
      <c r="H911" s="8" t="s">
        <v>80</v>
      </c>
      <c r="I911" s="15" t="s">
        <v>19</v>
      </c>
      <c r="J911" s="10" t="s">
        <v>927</v>
      </c>
      <c r="K911" s="15" t="s">
        <v>3</v>
      </c>
      <c r="L911" s="68" t="s">
        <v>2250</v>
      </c>
    </row>
    <row r="912" spans="2:12" ht="45" x14ac:dyDescent="0.25">
      <c r="B912" s="1">
        <v>940</v>
      </c>
      <c r="C912" s="5" t="s">
        <v>1021</v>
      </c>
      <c r="D912" s="5" t="s">
        <v>88</v>
      </c>
      <c r="E912" s="40">
        <v>280</v>
      </c>
      <c r="F912" s="6">
        <v>350</v>
      </c>
      <c r="G912" s="7" t="s">
        <v>2205</v>
      </c>
      <c r="H912" s="8" t="s">
        <v>80</v>
      </c>
      <c r="I912" s="15" t="s">
        <v>19</v>
      </c>
      <c r="J912" s="10" t="s">
        <v>927</v>
      </c>
      <c r="K912" s="15" t="s">
        <v>3</v>
      </c>
      <c r="L912" s="68" t="s">
        <v>2251</v>
      </c>
    </row>
    <row r="913" spans="2:12" ht="45" x14ac:dyDescent="0.25">
      <c r="B913" s="5">
        <v>941</v>
      </c>
      <c r="C913" s="5" t="s">
        <v>2188</v>
      </c>
      <c r="D913" s="5" t="s">
        <v>88</v>
      </c>
      <c r="E913" s="40" t="s">
        <v>2295</v>
      </c>
      <c r="F913" s="6">
        <v>800</v>
      </c>
      <c r="G913" s="7" t="s">
        <v>2205</v>
      </c>
      <c r="H913" s="8" t="s">
        <v>80</v>
      </c>
      <c r="I913" s="15" t="s">
        <v>19</v>
      </c>
      <c r="J913" s="10" t="s">
        <v>927</v>
      </c>
      <c r="K913" s="15" t="s">
        <v>3</v>
      </c>
      <c r="L913" s="68" t="s">
        <v>2252</v>
      </c>
    </row>
    <row r="914" spans="2:12" ht="45" x14ac:dyDescent="0.25">
      <c r="B914" s="5">
        <v>942</v>
      </c>
      <c r="C914" s="5" t="s">
        <v>2004</v>
      </c>
      <c r="D914" s="5" t="s">
        <v>84</v>
      </c>
      <c r="E914" s="40" t="s">
        <v>601</v>
      </c>
      <c r="F914" s="6">
        <v>1600</v>
      </c>
      <c r="G914" s="7" t="s">
        <v>2205</v>
      </c>
      <c r="H914" s="8" t="s">
        <v>80</v>
      </c>
      <c r="I914" s="15" t="s">
        <v>19</v>
      </c>
      <c r="J914" s="10" t="s">
        <v>942</v>
      </c>
      <c r="K914" s="15" t="s">
        <v>3</v>
      </c>
      <c r="L914" s="68" t="s">
        <v>2253</v>
      </c>
    </row>
    <row r="915" spans="2:12" ht="45" x14ac:dyDescent="0.25">
      <c r="B915" s="1">
        <v>943</v>
      </c>
      <c r="C915" s="5" t="s">
        <v>2004</v>
      </c>
      <c r="D915" s="5" t="s">
        <v>88</v>
      </c>
      <c r="E915" s="40" t="s">
        <v>2297</v>
      </c>
      <c r="F915" s="6">
        <v>1440</v>
      </c>
      <c r="G915" s="7" t="s">
        <v>2205</v>
      </c>
      <c r="H915" s="8" t="s">
        <v>80</v>
      </c>
      <c r="I915" s="15" t="s">
        <v>19</v>
      </c>
      <c r="J915" s="10" t="s">
        <v>927</v>
      </c>
      <c r="K915" s="15" t="s">
        <v>3</v>
      </c>
      <c r="L915" s="68" t="s">
        <v>2254</v>
      </c>
    </row>
    <row r="916" spans="2:12" ht="45" x14ac:dyDescent="0.25">
      <c r="B916" s="1">
        <v>944</v>
      </c>
      <c r="C916" s="5" t="s">
        <v>2189</v>
      </c>
      <c r="D916" s="5" t="s">
        <v>88</v>
      </c>
      <c r="E916" s="40" t="s">
        <v>2296</v>
      </c>
      <c r="F916" s="6">
        <v>800</v>
      </c>
      <c r="G916" s="7" t="s">
        <v>2205</v>
      </c>
      <c r="H916" s="8" t="s">
        <v>80</v>
      </c>
      <c r="I916" s="15" t="s">
        <v>19</v>
      </c>
      <c r="J916" s="10" t="s">
        <v>927</v>
      </c>
      <c r="K916" s="15" t="s">
        <v>3</v>
      </c>
      <c r="L916" s="68" t="s">
        <v>2255</v>
      </c>
    </row>
    <row r="917" spans="2:12" ht="45" x14ac:dyDescent="0.25">
      <c r="B917" s="5">
        <v>945</v>
      </c>
      <c r="C917" s="5" t="s">
        <v>2190</v>
      </c>
      <c r="D917" s="5" t="s">
        <v>563</v>
      </c>
      <c r="E917" s="40" t="s">
        <v>1527</v>
      </c>
      <c r="F917" s="6">
        <v>900</v>
      </c>
      <c r="G917" s="7" t="s">
        <v>2205</v>
      </c>
      <c r="H917" s="8" t="s">
        <v>80</v>
      </c>
      <c r="I917" s="15" t="s">
        <v>19</v>
      </c>
      <c r="J917" s="10" t="s">
        <v>943</v>
      </c>
      <c r="K917" s="15" t="s">
        <v>3</v>
      </c>
      <c r="L917" s="68" t="s">
        <v>2256</v>
      </c>
    </row>
    <row r="918" spans="2:12" ht="45" x14ac:dyDescent="0.25">
      <c r="B918" s="5">
        <v>946</v>
      </c>
      <c r="C918" s="5" t="s">
        <v>2190</v>
      </c>
      <c r="D918" s="5" t="s">
        <v>563</v>
      </c>
      <c r="E918" s="40" t="s">
        <v>2309</v>
      </c>
      <c r="F918" s="6">
        <v>3500</v>
      </c>
      <c r="G918" s="7" t="s">
        <v>2205</v>
      </c>
      <c r="H918" s="8" t="s">
        <v>80</v>
      </c>
      <c r="I918" s="15" t="s">
        <v>19</v>
      </c>
      <c r="J918" s="10" t="s">
        <v>943</v>
      </c>
      <c r="K918" s="15" t="s">
        <v>3</v>
      </c>
      <c r="L918" s="68" t="s">
        <v>2257</v>
      </c>
    </row>
    <row r="919" spans="2:12" ht="45.75" x14ac:dyDescent="0.25">
      <c r="B919" s="1">
        <v>947</v>
      </c>
      <c r="C919" s="5" t="s">
        <v>2303</v>
      </c>
      <c r="D919" s="5" t="s">
        <v>2191</v>
      </c>
      <c r="E919" s="40" t="s">
        <v>2114</v>
      </c>
      <c r="F919" s="6">
        <v>180</v>
      </c>
      <c r="G919" s="7" t="s">
        <v>2205</v>
      </c>
      <c r="H919" s="8" t="s">
        <v>80</v>
      </c>
      <c r="I919" s="15" t="s">
        <v>19</v>
      </c>
      <c r="J919" s="10" t="s">
        <v>2206</v>
      </c>
      <c r="K919" s="11" t="s">
        <v>7</v>
      </c>
      <c r="L919" s="68" t="s">
        <v>2258</v>
      </c>
    </row>
    <row r="920" spans="2:12" ht="45.75" x14ac:dyDescent="0.25">
      <c r="B920" s="1">
        <v>948</v>
      </c>
      <c r="C920" s="5" t="s">
        <v>2273</v>
      </c>
      <c r="D920" s="5" t="s">
        <v>103</v>
      </c>
      <c r="E920" s="40" t="s">
        <v>988</v>
      </c>
      <c r="F920" s="6">
        <v>1275</v>
      </c>
      <c r="G920" s="7" t="s">
        <v>2205</v>
      </c>
      <c r="H920" s="8" t="s">
        <v>80</v>
      </c>
      <c r="I920" s="15" t="s">
        <v>19</v>
      </c>
      <c r="J920" s="10" t="s">
        <v>946</v>
      </c>
      <c r="K920" s="11" t="s">
        <v>7</v>
      </c>
      <c r="L920" s="68" t="s">
        <v>2259</v>
      </c>
    </row>
    <row r="921" spans="2:12" ht="45" x14ac:dyDescent="0.25">
      <c r="B921" s="5">
        <v>949</v>
      </c>
      <c r="C921" s="5" t="s">
        <v>102</v>
      </c>
      <c r="D921" s="5" t="s">
        <v>103</v>
      </c>
      <c r="E921" s="40" t="s">
        <v>2306</v>
      </c>
      <c r="F921" s="6">
        <v>8499</v>
      </c>
      <c r="G921" s="7" t="s">
        <v>2205</v>
      </c>
      <c r="H921" s="8" t="s">
        <v>80</v>
      </c>
      <c r="I921" s="15" t="s">
        <v>19</v>
      </c>
      <c r="J921" s="10" t="s">
        <v>946</v>
      </c>
      <c r="K921" s="15" t="s">
        <v>3</v>
      </c>
      <c r="L921" s="68" t="s">
        <v>2260</v>
      </c>
    </row>
    <row r="922" spans="2:12" ht="45" x14ac:dyDescent="0.25">
      <c r="B922" s="5">
        <v>953</v>
      </c>
      <c r="C922" s="5" t="s">
        <v>1058</v>
      </c>
      <c r="D922" s="5" t="s">
        <v>563</v>
      </c>
      <c r="E922" s="40" t="s">
        <v>2160</v>
      </c>
      <c r="F922" s="6" t="s">
        <v>2160</v>
      </c>
      <c r="G922" s="6" t="s">
        <v>2286</v>
      </c>
      <c r="H922" s="6" t="s">
        <v>80</v>
      </c>
      <c r="I922" s="15" t="s">
        <v>19</v>
      </c>
      <c r="J922" s="10" t="s">
        <v>943</v>
      </c>
      <c r="K922" s="11" t="s">
        <v>3</v>
      </c>
      <c r="L922" s="68" t="s">
        <v>2261</v>
      </c>
    </row>
    <row r="923" spans="2:12" ht="45" x14ac:dyDescent="0.25">
      <c r="B923" s="5">
        <v>954</v>
      </c>
      <c r="C923" s="5" t="s">
        <v>2274</v>
      </c>
      <c r="D923" s="5" t="s">
        <v>563</v>
      </c>
      <c r="E923" s="40" t="s">
        <v>2314</v>
      </c>
      <c r="F923" s="6">
        <v>1330</v>
      </c>
      <c r="G923" s="6" t="s">
        <v>2287</v>
      </c>
      <c r="H923" s="6" t="s">
        <v>80</v>
      </c>
      <c r="I923" s="15" t="s">
        <v>19</v>
      </c>
      <c r="J923" s="10" t="s">
        <v>943</v>
      </c>
      <c r="K923" s="11" t="s">
        <v>3</v>
      </c>
      <c r="L923" s="68" t="s">
        <v>2262</v>
      </c>
    </row>
    <row r="924" spans="2:12" ht="45" x14ac:dyDescent="0.25">
      <c r="B924" s="1">
        <v>955</v>
      </c>
      <c r="C924" s="5" t="s">
        <v>2274</v>
      </c>
      <c r="D924" s="5" t="s">
        <v>82</v>
      </c>
      <c r="E924" s="40" t="s">
        <v>2133</v>
      </c>
      <c r="F924" s="6">
        <v>1330</v>
      </c>
      <c r="G924" s="6" t="s">
        <v>2287</v>
      </c>
      <c r="H924" s="6" t="s">
        <v>80</v>
      </c>
      <c r="I924" s="15" t="s">
        <v>19</v>
      </c>
      <c r="J924" s="10" t="s">
        <v>944</v>
      </c>
      <c r="K924" s="11" t="s">
        <v>3</v>
      </c>
      <c r="L924" s="68" t="s">
        <v>2263</v>
      </c>
    </row>
    <row r="925" spans="2:12" ht="45" x14ac:dyDescent="0.25">
      <c r="B925" s="1">
        <v>956</v>
      </c>
      <c r="C925" s="5" t="s">
        <v>271</v>
      </c>
      <c r="D925" s="5" t="s">
        <v>84</v>
      </c>
      <c r="E925" s="40">
        <v>320</v>
      </c>
      <c r="F925" s="6">
        <v>320</v>
      </c>
      <c r="G925" s="6" t="s">
        <v>2287</v>
      </c>
      <c r="H925" s="6" t="s">
        <v>80</v>
      </c>
      <c r="I925" s="15" t="s">
        <v>19</v>
      </c>
      <c r="J925" s="10" t="s">
        <v>942</v>
      </c>
      <c r="K925" s="11" t="s">
        <v>3</v>
      </c>
      <c r="L925" s="68" t="s">
        <v>2372</v>
      </c>
    </row>
    <row r="926" spans="2:12" ht="45" x14ac:dyDescent="0.25">
      <c r="B926" s="5">
        <v>957</v>
      </c>
      <c r="C926" s="5" t="s">
        <v>2275</v>
      </c>
      <c r="D926" s="5" t="s">
        <v>84</v>
      </c>
      <c r="E926" s="40">
        <v>236</v>
      </c>
      <c r="F926" s="6">
        <v>236</v>
      </c>
      <c r="G926" s="6" t="s">
        <v>2287</v>
      </c>
      <c r="H926" s="6" t="s">
        <v>80</v>
      </c>
      <c r="I926" s="15" t="s">
        <v>19</v>
      </c>
      <c r="J926" s="10" t="s">
        <v>942</v>
      </c>
      <c r="K926" s="11" t="s">
        <v>3</v>
      </c>
      <c r="L926" s="68" t="s">
        <v>2264</v>
      </c>
    </row>
    <row r="927" spans="2:12" ht="45" x14ac:dyDescent="0.25">
      <c r="B927" s="1">
        <v>959</v>
      </c>
      <c r="C927" s="5" t="s">
        <v>2276</v>
      </c>
      <c r="D927" s="5" t="s">
        <v>88</v>
      </c>
      <c r="E927" s="40" t="s">
        <v>2311</v>
      </c>
      <c r="F927" s="6">
        <v>1200</v>
      </c>
      <c r="G927" s="6" t="s">
        <v>2288</v>
      </c>
      <c r="H927" s="6" t="s">
        <v>80</v>
      </c>
      <c r="I927" s="15" t="s">
        <v>19</v>
      </c>
      <c r="J927" s="10" t="s">
        <v>927</v>
      </c>
      <c r="K927" s="11" t="s">
        <v>3</v>
      </c>
      <c r="L927" s="68" t="s">
        <v>2265</v>
      </c>
    </row>
    <row r="928" spans="2:12" ht="45" x14ac:dyDescent="0.25">
      <c r="B928" s="1">
        <v>960</v>
      </c>
      <c r="C928" s="5" t="s">
        <v>1306</v>
      </c>
      <c r="D928" s="5" t="s">
        <v>88</v>
      </c>
      <c r="E928" s="40">
        <v>871</v>
      </c>
      <c r="F928" s="6">
        <v>1920</v>
      </c>
      <c r="G928" s="6" t="s">
        <v>2288</v>
      </c>
      <c r="H928" s="6" t="s">
        <v>80</v>
      </c>
      <c r="I928" s="15" t="s">
        <v>19</v>
      </c>
      <c r="J928" s="10" t="s">
        <v>927</v>
      </c>
      <c r="K928" s="11" t="s">
        <v>3</v>
      </c>
      <c r="L928" s="68" t="s">
        <v>2266</v>
      </c>
    </row>
    <row r="929" spans="2:12" ht="45" x14ac:dyDescent="0.25">
      <c r="B929" s="5">
        <v>961</v>
      </c>
      <c r="C929" s="5" t="s">
        <v>2277</v>
      </c>
      <c r="D929" s="5" t="s">
        <v>88</v>
      </c>
      <c r="E929" s="40" t="s">
        <v>2373</v>
      </c>
      <c r="F929" s="6">
        <v>4080</v>
      </c>
      <c r="G929" s="6" t="s">
        <v>2288</v>
      </c>
      <c r="H929" s="6" t="s">
        <v>80</v>
      </c>
      <c r="I929" s="15" t="s">
        <v>19</v>
      </c>
      <c r="J929" s="10" t="s">
        <v>927</v>
      </c>
      <c r="K929" s="11" t="s">
        <v>3</v>
      </c>
      <c r="L929" s="68" t="s">
        <v>2267</v>
      </c>
    </row>
    <row r="930" spans="2:12" ht="45" x14ac:dyDescent="0.25">
      <c r="B930" s="5">
        <v>962</v>
      </c>
      <c r="C930" s="5" t="s">
        <v>2277</v>
      </c>
      <c r="D930" s="5" t="s">
        <v>84</v>
      </c>
      <c r="E930" s="40" t="s">
        <v>1493</v>
      </c>
      <c r="F930" s="6">
        <v>2400</v>
      </c>
      <c r="G930" s="6" t="s">
        <v>2288</v>
      </c>
      <c r="H930" s="6" t="s">
        <v>80</v>
      </c>
      <c r="I930" s="15" t="s">
        <v>19</v>
      </c>
      <c r="J930" s="10" t="s">
        <v>942</v>
      </c>
      <c r="K930" s="11" t="s">
        <v>3</v>
      </c>
      <c r="L930" s="68" t="s">
        <v>2268</v>
      </c>
    </row>
    <row r="931" spans="2:12" ht="45" x14ac:dyDescent="0.25">
      <c r="B931" s="1">
        <v>963</v>
      </c>
      <c r="C931" s="5" t="s">
        <v>395</v>
      </c>
      <c r="D931" s="5" t="s">
        <v>563</v>
      </c>
      <c r="E931" s="40" t="s">
        <v>2391</v>
      </c>
      <c r="F931" s="6">
        <v>3500</v>
      </c>
      <c r="G931" s="6" t="s">
        <v>2288</v>
      </c>
      <c r="H931" s="6" t="s">
        <v>80</v>
      </c>
      <c r="I931" s="15" t="s">
        <v>19</v>
      </c>
      <c r="J931" s="10" t="s">
        <v>943</v>
      </c>
      <c r="K931" s="11" t="s">
        <v>3</v>
      </c>
      <c r="L931" s="68" t="s">
        <v>2355</v>
      </c>
    </row>
    <row r="932" spans="2:12" ht="45" x14ac:dyDescent="0.25">
      <c r="B932" s="1">
        <v>964</v>
      </c>
      <c r="C932" s="5" t="s">
        <v>2278</v>
      </c>
      <c r="D932" s="5" t="s">
        <v>84</v>
      </c>
      <c r="E932" s="40">
        <v>320</v>
      </c>
      <c r="F932" s="6">
        <v>320</v>
      </c>
      <c r="G932" s="6" t="s">
        <v>2288</v>
      </c>
      <c r="H932" s="6" t="s">
        <v>80</v>
      </c>
      <c r="I932" s="15" t="s">
        <v>19</v>
      </c>
      <c r="J932" s="10" t="s">
        <v>942</v>
      </c>
      <c r="K932" s="11" t="s">
        <v>3</v>
      </c>
      <c r="L932" s="68" t="s">
        <v>2269</v>
      </c>
    </row>
    <row r="933" spans="2:12" ht="45" x14ac:dyDescent="0.25">
      <c r="B933" s="1">
        <v>967</v>
      </c>
      <c r="C933" s="5" t="s">
        <v>562</v>
      </c>
      <c r="D933" s="5" t="s">
        <v>563</v>
      </c>
      <c r="E933" s="40" t="s">
        <v>225</v>
      </c>
      <c r="F933" s="6">
        <v>70</v>
      </c>
      <c r="G933" s="6" t="s">
        <v>2289</v>
      </c>
      <c r="H933" s="6" t="s">
        <v>80</v>
      </c>
      <c r="I933" s="15" t="s">
        <v>19</v>
      </c>
      <c r="J933" s="10" t="s">
        <v>943</v>
      </c>
      <c r="K933" s="11" t="s">
        <v>3</v>
      </c>
      <c r="L933" s="68" t="s">
        <v>2316</v>
      </c>
    </row>
    <row r="934" spans="2:12" ht="45" x14ac:dyDescent="0.25">
      <c r="B934" s="1">
        <v>968</v>
      </c>
      <c r="C934" s="5" t="s">
        <v>454</v>
      </c>
      <c r="D934" s="5" t="s">
        <v>563</v>
      </c>
      <c r="E934" s="40" t="s">
        <v>1527</v>
      </c>
      <c r="F934" s="6">
        <v>900</v>
      </c>
      <c r="G934" s="6" t="s">
        <v>2289</v>
      </c>
      <c r="H934" s="6" t="s">
        <v>80</v>
      </c>
      <c r="I934" s="15" t="s">
        <v>19</v>
      </c>
      <c r="J934" s="10" t="s">
        <v>943</v>
      </c>
      <c r="K934" s="11" t="s">
        <v>3</v>
      </c>
      <c r="L934" s="68" t="s">
        <v>2270</v>
      </c>
    </row>
    <row r="935" spans="2:12" ht="90" x14ac:dyDescent="0.25">
      <c r="B935" s="5">
        <v>969</v>
      </c>
      <c r="C935" s="5" t="s">
        <v>2279</v>
      </c>
      <c r="D935" s="5" t="s">
        <v>2280</v>
      </c>
      <c r="E935" s="40" t="s">
        <v>2378</v>
      </c>
      <c r="F935" s="6">
        <v>21867</v>
      </c>
      <c r="G935" s="6" t="s">
        <v>2290</v>
      </c>
      <c r="H935" s="6" t="s">
        <v>80</v>
      </c>
      <c r="I935" s="15" t="s">
        <v>19</v>
      </c>
      <c r="J935" s="10" t="s">
        <v>918</v>
      </c>
      <c r="K935" s="13" t="s">
        <v>919</v>
      </c>
      <c r="L935" s="68" t="s">
        <v>2271</v>
      </c>
    </row>
    <row r="936" spans="2:12" ht="45.75" x14ac:dyDescent="0.25">
      <c r="B936" s="5">
        <v>970</v>
      </c>
      <c r="C936" s="5" t="s">
        <v>2281</v>
      </c>
      <c r="D936" s="5" t="s">
        <v>2282</v>
      </c>
      <c r="E936" s="40">
        <v>50</v>
      </c>
      <c r="F936" s="6">
        <v>50</v>
      </c>
      <c r="G936" s="6" t="s">
        <v>2291</v>
      </c>
      <c r="H936" s="6" t="s">
        <v>2292</v>
      </c>
      <c r="I936" s="15" t="s">
        <v>19</v>
      </c>
      <c r="J936" s="10" t="s">
        <v>916</v>
      </c>
      <c r="K936" s="11" t="s">
        <v>7</v>
      </c>
      <c r="L936" s="68" t="s">
        <v>2272</v>
      </c>
    </row>
    <row r="937" spans="2:12" ht="45" x14ac:dyDescent="0.25">
      <c r="B937" s="1">
        <v>971</v>
      </c>
      <c r="C937" s="5" t="s">
        <v>1605</v>
      </c>
      <c r="D937" s="5" t="s">
        <v>84</v>
      </c>
      <c r="E937" s="40" t="s">
        <v>2298</v>
      </c>
      <c r="F937" s="6">
        <v>1197</v>
      </c>
      <c r="G937" s="6" t="s">
        <v>2291</v>
      </c>
      <c r="H937" s="6" t="s">
        <v>80</v>
      </c>
      <c r="I937" s="15" t="s">
        <v>19</v>
      </c>
      <c r="J937" s="10" t="s">
        <v>942</v>
      </c>
      <c r="K937" s="11" t="s">
        <v>3</v>
      </c>
      <c r="L937" s="68" t="s">
        <v>2356</v>
      </c>
    </row>
    <row r="938" spans="2:12" ht="45" x14ac:dyDescent="0.25">
      <c r="B938" s="1">
        <v>972</v>
      </c>
      <c r="C938" s="5" t="s">
        <v>1058</v>
      </c>
      <c r="D938" s="5" t="s">
        <v>563</v>
      </c>
      <c r="E938" s="40" t="s">
        <v>2318</v>
      </c>
      <c r="F938" s="6" t="s">
        <v>2319</v>
      </c>
      <c r="G938" s="6" t="s">
        <v>2291</v>
      </c>
      <c r="H938" s="6" t="s">
        <v>80</v>
      </c>
      <c r="I938" s="15" t="s">
        <v>19</v>
      </c>
      <c r="J938" s="10" t="s">
        <v>943</v>
      </c>
      <c r="K938" s="11" t="s">
        <v>3</v>
      </c>
      <c r="L938" s="68" t="s">
        <v>2317</v>
      </c>
    </row>
    <row r="939" spans="2:12" ht="45" x14ac:dyDescent="0.25">
      <c r="B939" s="5">
        <v>973</v>
      </c>
      <c r="C939" s="5" t="s">
        <v>259</v>
      </c>
      <c r="D939" s="5" t="s">
        <v>82</v>
      </c>
      <c r="E939" s="40" t="s">
        <v>2148</v>
      </c>
      <c r="F939" s="6">
        <v>1100</v>
      </c>
      <c r="G939" s="6" t="s">
        <v>2291</v>
      </c>
      <c r="H939" s="6" t="s">
        <v>80</v>
      </c>
      <c r="I939" s="15" t="s">
        <v>19</v>
      </c>
      <c r="J939" s="10" t="s">
        <v>944</v>
      </c>
      <c r="K939" s="11" t="s">
        <v>3</v>
      </c>
      <c r="L939" s="68" t="s">
        <v>2357</v>
      </c>
    </row>
    <row r="940" spans="2:12" ht="45" x14ac:dyDescent="0.25">
      <c r="B940" s="1">
        <v>975</v>
      </c>
      <c r="C940" s="5" t="s">
        <v>2283</v>
      </c>
      <c r="D940" s="5" t="s">
        <v>88</v>
      </c>
      <c r="E940" s="40">
        <v>300</v>
      </c>
      <c r="F940" s="6">
        <v>350</v>
      </c>
      <c r="G940" s="6" t="s">
        <v>2291</v>
      </c>
      <c r="H940" s="6" t="s">
        <v>80</v>
      </c>
      <c r="I940" s="15" t="s">
        <v>19</v>
      </c>
      <c r="J940" s="10" t="s">
        <v>927</v>
      </c>
      <c r="K940" s="11" t="s">
        <v>3</v>
      </c>
      <c r="L940" s="68" t="s">
        <v>2358</v>
      </c>
    </row>
    <row r="941" spans="2:12" ht="45" x14ac:dyDescent="0.25">
      <c r="B941" s="1">
        <v>976</v>
      </c>
      <c r="C941" s="5" t="s">
        <v>2284</v>
      </c>
      <c r="D941" s="5" t="s">
        <v>88</v>
      </c>
      <c r="E941" s="40" t="s">
        <v>2223</v>
      </c>
      <c r="F941" s="6">
        <v>280</v>
      </c>
      <c r="G941" s="6" t="s">
        <v>2291</v>
      </c>
      <c r="H941" s="6" t="s">
        <v>80</v>
      </c>
      <c r="I941" s="15" t="s">
        <v>19</v>
      </c>
      <c r="J941" s="10" t="s">
        <v>927</v>
      </c>
      <c r="K941" s="11" t="s">
        <v>3</v>
      </c>
      <c r="L941" s="68" t="s">
        <v>2359</v>
      </c>
    </row>
    <row r="942" spans="2:12" ht="45" x14ac:dyDescent="0.25">
      <c r="B942" s="5">
        <v>977</v>
      </c>
      <c r="C942" s="5" t="s">
        <v>102</v>
      </c>
      <c r="D942" s="5" t="s">
        <v>103</v>
      </c>
      <c r="E942" s="40" t="s">
        <v>2374</v>
      </c>
      <c r="F942" s="6">
        <v>10745</v>
      </c>
      <c r="G942" s="6" t="s">
        <v>2291</v>
      </c>
      <c r="H942" s="6" t="s">
        <v>80</v>
      </c>
      <c r="I942" s="15" t="s">
        <v>19</v>
      </c>
      <c r="J942" s="10" t="s">
        <v>946</v>
      </c>
      <c r="K942" s="11" t="s">
        <v>3</v>
      </c>
      <c r="L942" s="68" t="s">
        <v>2360</v>
      </c>
    </row>
    <row r="943" spans="2:12" ht="45" x14ac:dyDescent="0.25">
      <c r="B943" s="1">
        <v>979</v>
      </c>
      <c r="C943" s="5" t="s">
        <v>1058</v>
      </c>
      <c r="D943" s="5" t="s">
        <v>563</v>
      </c>
      <c r="E943" s="40" t="s">
        <v>2152</v>
      </c>
      <c r="F943" s="6">
        <v>1700</v>
      </c>
      <c r="G943" s="6" t="s">
        <v>2294</v>
      </c>
      <c r="H943" s="6" t="s">
        <v>80</v>
      </c>
      <c r="I943" s="15" t="s">
        <v>19</v>
      </c>
      <c r="J943" s="10" t="s">
        <v>943</v>
      </c>
      <c r="K943" s="11" t="s">
        <v>3</v>
      </c>
      <c r="L943" s="68" t="s">
        <v>2361</v>
      </c>
    </row>
    <row r="944" spans="2:12" ht="45" x14ac:dyDescent="0.25">
      <c r="B944" s="1">
        <v>980</v>
      </c>
      <c r="C944" s="5" t="s">
        <v>2285</v>
      </c>
      <c r="D944" s="5" t="s">
        <v>82</v>
      </c>
      <c r="E944" s="40" t="s">
        <v>762</v>
      </c>
      <c r="F944" s="6">
        <v>1875</v>
      </c>
      <c r="G944" s="6" t="s">
        <v>2294</v>
      </c>
      <c r="H944" s="6" t="s">
        <v>80</v>
      </c>
      <c r="I944" s="15" t="s">
        <v>19</v>
      </c>
      <c r="J944" s="10" t="s">
        <v>944</v>
      </c>
      <c r="K944" s="11" t="s">
        <v>3</v>
      </c>
      <c r="L944" s="68" t="s">
        <v>2362</v>
      </c>
    </row>
    <row r="945" spans="2:12" ht="45" x14ac:dyDescent="0.25">
      <c r="B945" s="5">
        <v>981</v>
      </c>
      <c r="C945" s="5" t="s">
        <v>668</v>
      </c>
      <c r="D945" s="5" t="s">
        <v>88</v>
      </c>
      <c r="E945" s="40">
        <v>148.5</v>
      </c>
      <c r="F945" s="6">
        <v>180</v>
      </c>
      <c r="G945" s="6" t="s">
        <v>2294</v>
      </c>
      <c r="H945" s="6" t="s">
        <v>80</v>
      </c>
      <c r="I945" s="15" t="s">
        <v>19</v>
      </c>
      <c r="J945" s="10" t="s">
        <v>927</v>
      </c>
      <c r="K945" s="11" t="s">
        <v>3</v>
      </c>
      <c r="L945" s="68" t="s">
        <v>2338</v>
      </c>
    </row>
    <row r="946" spans="2:12" ht="45" x14ac:dyDescent="0.25">
      <c r="B946" s="5">
        <v>985</v>
      </c>
      <c r="C946" s="5" t="s">
        <v>1058</v>
      </c>
      <c r="D946" s="5" t="s">
        <v>563</v>
      </c>
      <c r="E946" s="40" t="s">
        <v>2389</v>
      </c>
      <c r="F946" s="6">
        <v>1310</v>
      </c>
      <c r="G946" s="6" t="s">
        <v>2294</v>
      </c>
      <c r="H946" s="6" t="s">
        <v>80</v>
      </c>
      <c r="I946" s="15" t="s">
        <v>19</v>
      </c>
      <c r="J946" s="10" t="s">
        <v>943</v>
      </c>
      <c r="K946" s="11" t="s">
        <v>3</v>
      </c>
      <c r="L946" s="68" t="s">
        <v>2363</v>
      </c>
    </row>
    <row r="947" spans="2:12" ht="45" x14ac:dyDescent="0.25">
      <c r="B947" s="1">
        <v>987</v>
      </c>
      <c r="C947" s="5" t="s">
        <v>1281</v>
      </c>
      <c r="D947" s="5" t="s">
        <v>88</v>
      </c>
      <c r="E947" s="40">
        <v>100</v>
      </c>
      <c r="F947" s="6">
        <v>100</v>
      </c>
      <c r="G947" s="6" t="s">
        <v>2294</v>
      </c>
      <c r="H947" s="6" t="s">
        <v>80</v>
      </c>
      <c r="I947" s="15" t="s">
        <v>19</v>
      </c>
      <c r="J947" s="10" t="s">
        <v>927</v>
      </c>
      <c r="K947" s="11" t="s">
        <v>3</v>
      </c>
      <c r="L947" s="68" t="s">
        <v>2364</v>
      </c>
    </row>
    <row r="948" spans="2:12" ht="45" x14ac:dyDescent="0.25">
      <c r="B948" s="1">
        <v>988</v>
      </c>
      <c r="C948" s="5" t="s">
        <v>259</v>
      </c>
      <c r="D948" s="5" t="s">
        <v>82</v>
      </c>
      <c r="E948" s="40" t="s">
        <v>2390</v>
      </c>
      <c r="F948" s="6">
        <v>1112.5</v>
      </c>
      <c r="G948" s="6" t="s">
        <v>2294</v>
      </c>
      <c r="H948" s="6" t="s">
        <v>80</v>
      </c>
      <c r="I948" s="15" t="s">
        <v>19</v>
      </c>
      <c r="J948" s="10" t="s">
        <v>944</v>
      </c>
      <c r="K948" s="11" t="s">
        <v>3</v>
      </c>
      <c r="L948" s="68" t="s">
        <v>2365</v>
      </c>
    </row>
    <row r="949" spans="2:12" ht="101.25" x14ac:dyDescent="0.25">
      <c r="B949" s="1">
        <v>992</v>
      </c>
      <c r="C949" s="5" t="s">
        <v>569</v>
      </c>
      <c r="D949" s="5" t="s">
        <v>2320</v>
      </c>
      <c r="E949" s="40">
        <f>300000+1424250</f>
        <v>1724250</v>
      </c>
      <c r="F949" s="6">
        <v>1724250</v>
      </c>
      <c r="G949" s="6" t="s">
        <v>2294</v>
      </c>
      <c r="H949" s="6" t="s">
        <v>2293</v>
      </c>
      <c r="I949" s="15" t="s">
        <v>19</v>
      </c>
      <c r="J949" s="10" t="s">
        <v>929</v>
      </c>
      <c r="K949" s="13" t="s">
        <v>588</v>
      </c>
      <c r="L949" s="68" t="s">
        <v>2328</v>
      </c>
    </row>
    <row r="950" spans="2:12" ht="101.25" x14ac:dyDescent="0.25">
      <c r="B950" s="5">
        <v>993</v>
      </c>
      <c r="C950" s="5" t="s">
        <v>572</v>
      </c>
      <c r="D950" s="5" t="s">
        <v>2321</v>
      </c>
      <c r="E950" s="40" t="s">
        <v>2375</v>
      </c>
      <c r="F950" s="6">
        <v>2194500</v>
      </c>
      <c r="G950" s="6" t="s">
        <v>2294</v>
      </c>
      <c r="H950" s="6" t="s">
        <v>2293</v>
      </c>
      <c r="I950" s="15" t="s">
        <v>19</v>
      </c>
      <c r="J950" s="10" t="s">
        <v>929</v>
      </c>
      <c r="K950" s="13" t="s">
        <v>588</v>
      </c>
      <c r="L950" s="68" t="s">
        <v>2329</v>
      </c>
    </row>
    <row r="951" spans="2:12" ht="45" x14ac:dyDescent="0.25">
      <c r="B951" s="1">
        <v>995</v>
      </c>
      <c r="C951" s="5" t="s">
        <v>2284</v>
      </c>
      <c r="D951" s="5" t="s">
        <v>88</v>
      </c>
      <c r="E951" s="40" t="s">
        <v>2380</v>
      </c>
      <c r="F951" s="6">
        <v>960</v>
      </c>
      <c r="G951" s="6" t="s">
        <v>2294</v>
      </c>
      <c r="H951" s="6" t="s">
        <v>80</v>
      </c>
      <c r="I951" s="15" t="s">
        <v>19</v>
      </c>
      <c r="J951" s="10" t="s">
        <v>927</v>
      </c>
      <c r="K951" s="11" t="s">
        <v>3</v>
      </c>
      <c r="L951" s="68" t="s">
        <v>2366</v>
      </c>
    </row>
    <row r="952" spans="2:12" ht="45" x14ac:dyDescent="0.25">
      <c r="B952" s="1">
        <v>996</v>
      </c>
      <c r="C952" s="5" t="s">
        <v>2322</v>
      </c>
      <c r="D952" s="5" t="s">
        <v>82</v>
      </c>
      <c r="E952" s="40" t="s">
        <v>2382</v>
      </c>
      <c r="F952" s="6">
        <v>2232.5</v>
      </c>
      <c r="G952" s="6" t="s">
        <v>2294</v>
      </c>
      <c r="H952" s="6" t="s">
        <v>80</v>
      </c>
      <c r="I952" s="15" t="s">
        <v>19</v>
      </c>
      <c r="J952" s="10" t="s">
        <v>944</v>
      </c>
      <c r="K952" s="11" t="s">
        <v>3</v>
      </c>
      <c r="L952" s="68" t="s">
        <v>2367</v>
      </c>
    </row>
    <row r="953" spans="2:12" ht="45" x14ac:dyDescent="0.25">
      <c r="B953" s="5">
        <v>998</v>
      </c>
      <c r="C953" s="1" t="s">
        <v>395</v>
      </c>
      <c r="D953" s="1" t="s">
        <v>563</v>
      </c>
      <c r="E953" s="40" t="s">
        <v>2381</v>
      </c>
      <c r="F953" s="6">
        <v>3200</v>
      </c>
      <c r="G953" s="6" t="s">
        <v>2294</v>
      </c>
      <c r="H953" s="6" t="s">
        <v>80</v>
      </c>
      <c r="I953" s="15" t="s">
        <v>19</v>
      </c>
      <c r="J953" s="2" t="s">
        <v>943</v>
      </c>
      <c r="K953" s="11" t="s">
        <v>3</v>
      </c>
      <c r="L953" s="68" t="s">
        <v>2368</v>
      </c>
    </row>
    <row r="954" spans="2:12" ht="56.25" customHeight="1" x14ac:dyDescent="0.25">
      <c r="B954" s="1">
        <v>999</v>
      </c>
      <c r="C954" s="1" t="s">
        <v>506</v>
      </c>
      <c r="D954" s="1" t="s">
        <v>2323</v>
      </c>
      <c r="E954" s="40" t="s">
        <v>2337</v>
      </c>
      <c r="F954" s="6">
        <v>45</v>
      </c>
      <c r="G954" s="6" t="s">
        <v>2294</v>
      </c>
      <c r="H954" s="6" t="s">
        <v>80</v>
      </c>
      <c r="I954" s="15" t="s">
        <v>19</v>
      </c>
      <c r="J954" s="2" t="s">
        <v>2055</v>
      </c>
      <c r="K954" s="13" t="s">
        <v>10</v>
      </c>
      <c r="L954" s="68" t="s">
        <v>2330</v>
      </c>
    </row>
    <row r="955" spans="2:12" ht="45" x14ac:dyDescent="0.25">
      <c r="B955" s="5">
        <v>1001</v>
      </c>
      <c r="C955" s="1" t="s">
        <v>1058</v>
      </c>
      <c r="D955" s="1" t="s">
        <v>563</v>
      </c>
      <c r="E955" s="40" t="s">
        <v>2386</v>
      </c>
      <c r="F955" s="6">
        <v>1050</v>
      </c>
      <c r="G955" s="6" t="s">
        <v>2331</v>
      </c>
      <c r="H955" s="6" t="s">
        <v>80</v>
      </c>
      <c r="I955" s="15" t="s">
        <v>19</v>
      </c>
      <c r="J955" s="2" t="s">
        <v>943</v>
      </c>
      <c r="K955" s="11" t="s">
        <v>3</v>
      </c>
      <c r="L955" s="68" t="s">
        <v>2369</v>
      </c>
    </row>
    <row r="956" spans="2:12" ht="45" x14ac:dyDescent="0.25">
      <c r="B956" s="1">
        <v>1004</v>
      </c>
      <c r="C956" s="1" t="s">
        <v>396</v>
      </c>
      <c r="D956" s="1" t="s">
        <v>82</v>
      </c>
      <c r="E956" s="40" t="s">
        <v>2384</v>
      </c>
      <c r="F956" s="6">
        <v>1062.5</v>
      </c>
      <c r="G956" s="6" t="s">
        <v>2331</v>
      </c>
      <c r="H956" s="6" t="s">
        <v>80</v>
      </c>
      <c r="I956" s="15" t="s">
        <v>19</v>
      </c>
      <c r="J956" s="2" t="s">
        <v>944</v>
      </c>
      <c r="K956" s="11" t="s">
        <v>3</v>
      </c>
      <c r="L956" s="68" t="s">
        <v>2370</v>
      </c>
    </row>
    <row r="957" spans="2:12" ht="101.25" customHeight="1" x14ac:dyDescent="0.25">
      <c r="B957" s="1">
        <v>1007</v>
      </c>
      <c r="C957" s="1" t="s">
        <v>2324</v>
      </c>
      <c r="D957" s="1" t="s">
        <v>2325</v>
      </c>
      <c r="E957" s="40" t="s">
        <v>2339</v>
      </c>
      <c r="F957" s="6">
        <v>51156</v>
      </c>
      <c r="G957" s="6" t="s">
        <v>2331</v>
      </c>
      <c r="H957" s="6" t="s">
        <v>80</v>
      </c>
      <c r="I957" s="15" t="s">
        <v>19</v>
      </c>
      <c r="J957" s="2" t="s">
        <v>918</v>
      </c>
      <c r="K957" s="13" t="s">
        <v>919</v>
      </c>
      <c r="L957" s="68" t="s">
        <v>2332</v>
      </c>
    </row>
    <row r="958" spans="2:12" ht="45" x14ac:dyDescent="0.25">
      <c r="B958" s="5">
        <v>1009</v>
      </c>
      <c r="C958" s="1" t="s">
        <v>646</v>
      </c>
      <c r="D958" s="1" t="s">
        <v>103</v>
      </c>
      <c r="E958" s="40" t="s">
        <v>2383</v>
      </c>
      <c r="F958" s="6">
        <v>1314</v>
      </c>
      <c r="G958" s="6" t="s">
        <v>2331</v>
      </c>
      <c r="H958" s="6" t="s">
        <v>80</v>
      </c>
      <c r="I958" s="15" t="s">
        <v>19</v>
      </c>
      <c r="J958" s="2" t="s">
        <v>946</v>
      </c>
      <c r="K958" s="11" t="s">
        <v>3</v>
      </c>
      <c r="L958" s="68" t="s">
        <v>2353</v>
      </c>
    </row>
    <row r="959" spans="2:12" ht="45.75" x14ac:dyDescent="0.25">
      <c r="B959" s="5">
        <v>1010</v>
      </c>
      <c r="C959" s="1" t="s">
        <v>2326</v>
      </c>
      <c r="D959" s="1" t="s">
        <v>2327</v>
      </c>
      <c r="E959" s="40">
        <v>125</v>
      </c>
      <c r="F959" s="6">
        <v>125</v>
      </c>
      <c r="G959" s="6" t="s">
        <v>2331</v>
      </c>
      <c r="H959" s="6" t="s">
        <v>80</v>
      </c>
      <c r="I959" s="15" t="s">
        <v>19</v>
      </c>
      <c r="J959" s="2" t="s">
        <v>2333</v>
      </c>
      <c r="K959" s="11" t="s">
        <v>7</v>
      </c>
      <c r="L959" s="68" t="s">
        <v>2354</v>
      </c>
    </row>
    <row r="960" spans="2:12" ht="45" x14ac:dyDescent="0.25">
      <c r="B960" s="5">
        <v>9</v>
      </c>
      <c r="C960" s="1" t="s">
        <v>164</v>
      </c>
      <c r="D960" s="1" t="s">
        <v>88</v>
      </c>
      <c r="E960" s="40" t="s">
        <v>2385</v>
      </c>
      <c r="F960" s="6">
        <v>885.5</v>
      </c>
      <c r="G960" s="6" t="s">
        <v>2331</v>
      </c>
      <c r="H960" s="6" t="s">
        <v>80</v>
      </c>
      <c r="I960" s="15" t="s">
        <v>19</v>
      </c>
      <c r="J960" s="2" t="s">
        <v>927</v>
      </c>
      <c r="K960" s="11" t="s">
        <v>3</v>
      </c>
      <c r="L960" s="68" t="s">
        <v>2352</v>
      </c>
    </row>
    <row r="961" spans="2:12" ht="56.25" customHeight="1" x14ac:dyDescent="0.25">
      <c r="B961" s="1">
        <v>1011</v>
      </c>
      <c r="C961" s="1" t="s">
        <v>506</v>
      </c>
      <c r="D961" s="1" t="s">
        <v>630</v>
      </c>
      <c r="E961" s="40" t="s">
        <v>1889</v>
      </c>
      <c r="F961" s="6">
        <v>520</v>
      </c>
      <c r="G961" s="6" t="s">
        <v>2334</v>
      </c>
      <c r="H961" s="6" t="s">
        <v>80</v>
      </c>
      <c r="I961" s="15" t="s">
        <v>8</v>
      </c>
      <c r="J961" s="2" t="s">
        <v>2335</v>
      </c>
      <c r="K961" s="39"/>
      <c r="L961" s="68" t="s">
        <v>2379</v>
      </c>
    </row>
    <row r="962" spans="2:12" ht="45" x14ac:dyDescent="0.25">
      <c r="B962" s="5">
        <v>1014</v>
      </c>
      <c r="C962" s="1" t="s">
        <v>1058</v>
      </c>
      <c r="D962" s="1" t="s">
        <v>563</v>
      </c>
      <c r="E962" s="40">
        <v>450</v>
      </c>
      <c r="F962" s="6">
        <v>450</v>
      </c>
      <c r="G962" s="6" t="s">
        <v>2336</v>
      </c>
      <c r="H962" s="6" t="s">
        <v>80</v>
      </c>
      <c r="I962" s="6" t="s">
        <v>19</v>
      </c>
      <c r="J962" s="2" t="s">
        <v>943</v>
      </c>
      <c r="K962" s="11" t="s">
        <v>3</v>
      </c>
      <c r="L962" s="68" t="s">
        <v>2376</v>
      </c>
    </row>
    <row r="963" spans="2:12" ht="45" x14ac:dyDescent="0.25">
      <c r="B963" s="1">
        <v>1015</v>
      </c>
      <c r="C963" s="1" t="s">
        <v>840</v>
      </c>
      <c r="D963" s="1" t="s">
        <v>82</v>
      </c>
      <c r="E963" s="40" t="s">
        <v>2392</v>
      </c>
      <c r="F963" s="6">
        <v>212.5</v>
      </c>
      <c r="G963" s="6" t="s">
        <v>2336</v>
      </c>
      <c r="H963" s="6" t="s">
        <v>80</v>
      </c>
      <c r="I963" s="6" t="s">
        <v>19</v>
      </c>
      <c r="J963" s="2" t="s">
        <v>944</v>
      </c>
      <c r="K963" s="11" t="s">
        <v>3</v>
      </c>
      <c r="L963" s="68" t="s">
        <v>2377</v>
      </c>
    </row>
    <row r="964" spans="2:12" ht="101.25" x14ac:dyDescent="0.25">
      <c r="B964" s="5">
        <v>1033</v>
      </c>
      <c r="C964" s="1" t="s">
        <v>2340</v>
      </c>
      <c r="D964" s="1" t="s">
        <v>2341</v>
      </c>
      <c r="E964" s="40" t="s">
        <v>2388</v>
      </c>
      <c r="F964" s="6">
        <v>6000</v>
      </c>
      <c r="G964" s="6" t="s">
        <v>2346</v>
      </c>
      <c r="H964" s="6" t="s">
        <v>80</v>
      </c>
      <c r="I964" s="15" t="s">
        <v>19</v>
      </c>
      <c r="J964" s="2" t="s">
        <v>942</v>
      </c>
      <c r="K964" s="13" t="s">
        <v>588</v>
      </c>
      <c r="L964" s="68" t="s">
        <v>2347</v>
      </c>
    </row>
    <row r="965" spans="2:12" ht="90" x14ac:dyDescent="0.25">
      <c r="B965" s="5">
        <v>1034</v>
      </c>
      <c r="C965" s="1" t="s">
        <v>2342</v>
      </c>
      <c r="D965" s="1" t="s">
        <v>2343</v>
      </c>
      <c r="E965" s="40" t="s">
        <v>2393</v>
      </c>
      <c r="F965" s="6">
        <v>1062533</v>
      </c>
      <c r="G965" s="6" t="s">
        <v>2346</v>
      </c>
      <c r="H965" s="6" t="s">
        <v>80</v>
      </c>
      <c r="I965" s="15" t="s">
        <v>19</v>
      </c>
      <c r="J965" s="2" t="s">
        <v>1845</v>
      </c>
      <c r="K965" s="13" t="s">
        <v>1797</v>
      </c>
      <c r="L965" s="68" t="s">
        <v>2348</v>
      </c>
    </row>
    <row r="966" spans="2:12" ht="90" x14ac:dyDescent="0.25">
      <c r="B966" s="1">
        <v>1035</v>
      </c>
      <c r="C966" s="1" t="s">
        <v>2344</v>
      </c>
      <c r="D966" s="1" t="s">
        <v>822</v>
      </c>
      <c r="E966" s="40" t="s">
        <v>2387</v>
      </c>
      <c r="F966" s="6">
        <v>217754.33</v>
      </c>
      <c r="G966" s="6" t="s">
        <v>2346</v>
      </c>
      <c r="H966" s="6" t="s">
        <v>80</v>
      </c>
      <c r="I966" s="15" t="s">
        <v>19</v>
      </c>
      <c r="J966" s="2" t="s">
        <v>2349</v>
      </c>
      <c r="K966" s="13" t="s">
        <v>1797</v>
      </c>
      <c r="L966" s="68" t="s">
        <v>2350</v>
      </c>
    </row>
    <row r="967" spans="2:12" ht="101.25" x14ac:dyDescent="0.25">
      <c r="B967" s="1">
        <v>1036</v>
      </c>
      <c r="C967" s="1" t="s">
        <v>501</v>
      </c>
      <c r="D967" s="1" t="s">
        <v>2345</v>
      </c>
      <c r="E967" s="40" t="s">
        <v>528</v>
      </c>
      <c r="F967" s="6">
        <v>1500</v>
      </c>
      <c r="G967" s="6" t="s">
        <v>2346</v>
      </c>
      <c r="H967" s="6" t="s">
        <v>80</v>
      </c>
      <c r="I967" s="15" t="s">
        <v>19</v>
      </c>
      <c r="J967" s="2" t="s">
        <v>929</v>
      </c>
      <c r="K967" s="13" t="s">
        <v>281</v>
      </c>
      <c r="L967" s="68" t="s">
        <v>2351</v>
      </c>
    </row>
    <row r="968" spans="2:12" x14ac:dyDescent="0.25">
      <c r="B968" s="1">
        <v>1097</v>
      </c>
      <c r="F968" s="6"/>
      <c r="G968" s="6"/>
      <c r="I968" s="6"/>
      <c r="L968" s="1"/>
    </row>
    <row r="969" spans="2:12" x14ac:dyDescent="0.25">
      <c r="B969" s="1">
        <v>1098</v>
      </c>
      <c r="F969" s="6"/>
      <c r="G969" s="6"/>
      <c r="H969" s="6"/>
      <c r="I969" s="6"/>
      <c r="L969" s="1"/>
    </row>
    <row r="970" spans="2:12" x14ac:dyDescent="0.25">
      <c r="B970" s="5">
        <v>1099</v>
      </c>
      <c r="F970" s="6"/>
      <c r="G970" s="6"/>
      <c r="I970" s="6"/>
      <c r="L970" s="1"/>
    </row>
    <row r="971" spans="2:12" x14ac:dyDescent="0.25">
      <c r="B971" s="5">
        <v>1100</v>
      </c>
      <c r="F971" s="6"/>
      <c r="G971" s="6"/>
      <c r="H971" s="6"/>
      <c r="I971" s="6"/>
      <c r="L971" s="1"/>
    </row>
    <row r="972" spans="2:12" x14ac:dyDescent="0.25">
      <c r="B972" s="1">
        <v>1101</v>
      </c>
      <c r="F972" s="6"/>
      <c r="G972" s="6"/>
      <c r="I972" s="6"/>
      <c r="L972" s="1"/>
    </row>
    <row r="973" spans="2:12" x14ac:dyDescent="0.25">
      <c r="B973" s="1">
        <v>1102</v>
      </c>
      <c r="F973" s="6"/>
      <c r="G973" s="6"/>
      <c r="H973" s="6"/>
      <c r="I973" s="6"/>
      <c r="L973" s="1"/>
    </row>
    <row r="974" spans="2:12" x14ac:dyDescent="0.25">
      <c r="B974" s="1">
        <v>1103</v>
      </c>
      <c r="F974" s="6"/>
      <c r="G974" s="6"/>
      <c r="I974" s="6"/>
      <c r="L974" s="1"/>
    </row>
    <row r="975" spans="2:12" x14ac:dyDescent="0.25">
      <c r="B975" s="1">
        <v>1104</v>
      </c>
      <c r="F975" s="6"/>
      <c r="G975" s="6"/>
      <c r="H975" s="6"/>
      <c r="I975" s="6"/>
      <c r="L975" s="1"/>
    </row>
    <row r="976" spans="2:12" x14ac:dyDescent="0.25">
      <c r="B976" s="5">
        <v>1105</v>
      </c>
      <c r="F976" s="6"/>
      <c r="G976" s="6"/>
      <c r="I976" s="6"/>
      <c r="L976" s="1"/>
    </row>
    <row r="977" spans="2:12" x14ac:dyDescent="0.25">
      <c r="B977" s="5">
        <v>1106</v>
      </c>
      <c r="F977" s="6"/>
      <c r="G977" s="6"/>
      <c r="H977" s="6"/>
      <c r="I977" s="6"/>
      <c r="L977" s="1"/>
    </row>
    <row r="978" spans="2:12" x14ac:dyDescent="0.25">
      <c r="B978" s="1">
        <v>1107</v>
      </c>
      <c r="F978" s="6"/>
      <c r="G978" s="6"/>
      <c r="I978" s="6"/>
      <c r="L978" s="1"/>
    </row>
    <row r="979" spans="2:12" x14ac:dyDescent="0.25">
      <c r="B979" s="1">
        <v>1108</v>
      </c>
      <c r="F979" s="6"/>
      <c r="G979" s="6"/>
      <c r="H979" s="6"/>
      <c r="I979" s="6"/>
      <c r="L979" s="1"/>
    </row>
    <row r="980" spans="2:12" x14ac:dyDescent="0.25">
      <c r="B980" s="1">
        <v>1109</v>
      </c>
      <c r="F980" s="6"/>
      <c r="G980" s="6"/>
      <c r="I980" s="6"/>
      <c r="L980" s="1"/>
    </row>
    <row r="981" spans="2:12" x14ac:dyDescent="0.25">
      <c r="B981" s="1">
        <v>1110</v>
      </c>
      <c r="F981" s="6"/>
      <c r="G981" s="6"/>
      <c r="H981" s="6"/>
      <c r="I981" s="6"/>
      <c r="L981" s="1"/>
    </row>
    <row r="982" spans="2:12" x14ac:dyDescent="0.25">
      <c r="B982" s="5">
        <v>1111</v>
      </c>
      <c r="F982" s="6"/>
      <c r="G982" s="6"/>
      <c r="I982" s="6"/>
      <c r="L982" s="1"/>
    </row>
    <row r="983" spans="2:12" x14ac:dyDescent="0.25">
      <c r="B983" s="5">
        <v>1112</v>
      </c>
      <c r="F983" s="6"/>
      <c r="G983" s="6"/>
      <c r="H983" s="6"/>
      <c r="I983" s="6"/>
      <c r="L983" s="1"/>
    </row>
    <row r="984" spans="2:12" x14ac:dyDescent="0.25">
      <c r="B984" s="1">
        <v>1113</v>
      </c>
      <c r="F984" s="6"/>
      <c r="G984" s="6"/>
      <c r="I984" s="6"/>
      <c r="L984" s="1"/>
    </row>
    <row r="985" spans="2:12" x14ac:dyDescent="0.25">
      <c r="B985" s="1">
        <v>1114</v>
      </c>
      <c r="F985" s="6"/>
      <c r="G985" s="6"/>
      <c r="H985" s="6"/>
      <c r="I985" s="6"/>
      <c r="L985" s="1"/>
    </row>
    <row r="986" spans="2:12" x14ac:dyDescent="0.25">
      <c r="B986" s="1">
        <v>1115</v>
      </c>
      <c r="F986" s="6"/>
      <c r="G986" s="6"/>
      <c r="I986" s="6"/>
      <c r="L986" s="1"/>
    </row>
    <row r="987" spans="2:12" x14ac:dyDescent="0.25">
      <c r="B987" s="1">
        <v>1116</v>
      </c>
      <c r="F987" s="6"/>
      <c r="L987" s="1"/>
    </row>
    <row r="988" spans="2:12" x14ac:dyDescent="0.25">
      <c r="B988" s="5">
        <v>1117</v>
      </c>
      <c r="F988" s="6"/>
      <c r="L988" s="1"/>
    </row>
    <row r="989" spans="2:12" x14ac:dyDescent="0.25">
      <c r="B989" s="5">
        <v>1118</v>
      </c>
      <c r="F989" s="6"/>
      <c r="L989" s="1"/>
    </row>
    <row r="990" spans="2:12" x14ac:dyDescent="0.25">
      <c r="B990" s="1">
        <v>1119</v>
      </c>
      <c r="F990" s="6"/>
      <c r="L990" s="1"/>
    </row>
    <row r="991" spans="2:12" x14ac:dyDescent="0.25">
      <c r="B991" s="1">
        <v>1120</v>
      </c>
      <c r="F991" s="6"/>
      <c r="L991" s="1"/>
    </row>
    <row r="992" spans="2:12" x14ac:dyDescent="0.25">
      <c r="B992" s="1">
        <v>1121</v>
      </c>
      <c r="F992" s="6"/>
      <c r="L992" s="1"/>
    </row>
    <row r="993" spans="2:12" x14ac:dyDescent="0.25">
      <c r="B993" s="1">
        <v>1122</v>
      </c>
      <c r="F993" s="6"/>
      <c r="L993" s="1"/>
    </row>
    <row r="994" spans="2:12" x14ac:dyDescent="0.25">
      <c r="B994" s="5">
        <v>1123</v>
      </c>
      <c r="F994" s="6"/>
      <c r="L994" s="1"/>
    </row>
    <row r="995" spans="2:12" x14ac:dyDescent="0.25">
      <c r="B995" s="5">
        <v>1124</v>
      </c>
      <c r="F995" s="6"/>
      <c r="L995" s="1"/>
    </row>
    <row r="996" spans="2:12" x14ac:dyDescent="0.25">
      <c r="F996" s="6"/>
      <c r="L996" s="1"/>
    </row>
    <row r="997" spans="2:12" x14ac:dyDescent="0.25">
      <c r="F997" s="6"/>
      <c r="L997" s="1"/>
    </row>
    <row r="998" spans="2:12" x14ac:dyDescent="0.25">
      <c r="F998" s="6"/>
      <c r="L998" s="1"/>
    </row>
    <row r="999" spans="2:12" x14ac:dyDescent="0.25">
      <c r="F999" s="6"/>
      <c r="L999" s="1"/>
    </row>
    <row r="1000" spans="2:12" x14ac:dyDescent="0.25">
      <c r="F1000" s="6"/>
      <c r="L1000" s="1"/>
    </row>
    <row r="1001" spans="2:12" x14ac:dyDescent="0.25">
      <c r="F1001" s="6"/>
      <c r="L1001" s="1"/>
    </row>
    <row r="1002" spans="2:12" x14ac:dyDescent="0.25">
      <c r="F1002" s="6"/>
      <c r="L1002" s="1"/>
    </row>
    <row r="1003" spans="2:12" x14ac:dyDescent="0.25">
      <c r="F1003" s="6"/>
      <c r="L1003" s="1"/>
    </row>
    <row r="1004" spans="2:12" x14ac:dyDescent="0.25">
      <c r="F1004" s="6"/>
      <c r="L1004" s="1"/>
    </row>
    <row r="1005" spans="2:12" x14ac:dyDescent="0.25">
      <c r="F1005" s="6"/>
      <c r="L1005" s="1"/>
    </row>
    <row r="1006" spans="2:12" x14ac:dyDescent="0.25">
      <c r="F1006" s="6"/>
      <c r="L1006" s="1"/>
    </row>
    <row r="1007" spans="2:12" x14ac:dyDescent="0.25">
      <c r="F1007" s="6"/>
      <c r="L1007" s="1"/>
    </row>
    <row r="1008" spans="2:12" x14ac:dyDescent="0.25">
      <c r="F1008" s="6"/>
      <c r="L1008" s="1"/>
    </row>
    <row r="1009" spans="6:12" x14ac:dyDescent="0.25">
      <c r="F1009" s="6"/>
      <c r="L1009" s="1"/>
    </row>
    <row r="1010" spans="6:12" x14ac:dyDescent="0.25">
      <c r="F1010" s="6"/>
      <c r="L1010" s="1"/>
    </row>
    <row r="1011" spans="6:12" x14ac:dyDescent="0.25">
      <c r="F1011" s="6"/>
      <c r="L1011" s="1"/>
    </row>
    <row r="1012" spans="6:12" x14ac:dyDescent="0.25">
      <c r="F1012" s="6"/>
      <c r="L1012" s="1"/>
    </row>
    <row r="1013" spans="6:12" x14ac:dyDescent="0.25">
      <c r="F1013" s="6"/>
      <c r="L1013" s="1"/>
    </row>
    <row r="1014" spans="6:12" x14ac:dyDescent="0.25">
      <c r="F1014" s="6"/>
      <c r="L1014" s="1"/>
    </row>
    <row r="1015" spans="6:12" x14ac:dyDescent="0.25">
      <c r="F1015" s="6"/>
      <c r="L1015" s="1"/>
    </row>
    <row r="1016" spans="6:12" x14ac:dyDescent="0.25">
      <c r="F1016" s="6"/>
      <c r="L1016" s="1"/>
    </row>
    <row r="1017" spans="6:12" x14ac:dyDescent="0.25">
      <c r="F1017" s="6"/>
      <c r="L1017" s="1"/>
    </row>
    <row r="1018" spans="6:12" x14ac:dyDescent="0.25">
      <c r="F1018" s="6"/>
      <c r="L1018" s="1"/>
    </row>
    <row r="1019" spans="6:12" x14ac:dyDescent="0.25">
      <c r="F1019" s="6"/>
      <c r="L1019" s="1"/>
    </row>
    <row r="1020" spans="6:12" x14ac:dyDescent="0.25">
      <c r="F1020" s="6"/>
      <c r="L1020" s="1"/>
    </row>
    <row r="1021" spans="6:12" x14ac:dyDescent="0.25">
      <c r="F1021" s="6"/>
      <c r="L1021" s="1"/>
    </row>
    <row r="1022" spans="6:12" x14ac:dyDescent="0.25">
      <c r="F1022" s="6"/>
      <c r="L1022" s="1"/>
    </row>
    <row r="1023" spans="6:12" x14ac:dyDescent="0.25">
      <c r="F1023" s="6"/>
      <c r="L1023" s="1"/>
    </row>
    <row r="1024" spans="6:12" x14ac:dyDescent="0.25">
      <c r="F1024" s="6"/>
      <c r="L1024" s="1"/>
    </row>
    <row r="1025" spans="6:12" x14ac:dyDescent="0.25">
      <c r="F1025" s="6"/>
      <c r="L1025" s="1"/>
    </row>
    <row r="1026" spans="6:12" x14ac:dyDescent="0.25">
      <c r="F1026" s="6"/>
      <c r="L1026" s="1"/>
    </row>
    <row r="1027" spans="6:12" x14ac:dyDescent="0.25">
      <c r="F1027" s="6"/>
      <c r="L1027" s="1"/>
    </row>
    <row r="1028" spans="6:12" x14ac:dyDescent="0.25">
      <c r="F1028" s="6"/>
      <c r="L1028" s="1"/>
    </row>
    <row r="1029" spans="6:12" x14ac:dyDescent="0.25">
      <c r="F1029" s="6"/>
      <c r="L1029" s="1"/>
    </row>
    <row r="1030" spans="6:12" x14ac:dyDescent="0.25">
      <c r="F1030" s="6"/>
      <c r="L1030" s="1"/>
    </row>
    <row r="1031" spans="6:12" x14ac:dyDescent="0.25">
      <c r="F1031" s="6"/>
      <c r="L1031" s="1"/>
    </row>
    <row r="1032" spans="6:12" x14ac:dyDescent="0.25">
      <c r="F1032" s="6"/>
      <c r="L1032" s="1"/>
    </row>
    <row r="1033" spans="6:12" x14ac:dyDescent="0.25">
      <c r="F1033" s="6"/>
      <c r="L1033" s="1"/>
    </row>
    <row r="1034" spans="6:12" x14ac:dyDescent="0.25">
      <c r="F1034" s="6"/>
      <c r="L1034" s="1"/>
    </row>
    <row r="1035" spans="6:12" x14ac:dyDescent="0.25">
      <c r="F1035" s="6"/>
      <c r="L1035" s="1"/>
    </row>
    <row r="1036" spans="6:12" x14ac:dyDescent="0.25">
      <c r="F1036" s="6"/>
      <c r="L1036" s="1"/>
    </row>
    <row r="1037" spans="6:12" x14ac:dyDescent="0.25">
      <c r="F1037" s="6"/>
      <c r="L1037" s="1"/>
    </row>
    <row r="1038" spans="6:12" x14ac:dyDescent="0.25">
      <c r="F1038" s="6"/>
      <c r="L1038" s="1"/>
    </row>
    <row r="1039" spans="6:12" x14ac:dyDescent="0.25">
      <c r="F1039" s="6"/>
      <c r="L1039" s="1"/>
    </row>
    <row r="1040" spans="6:12" x14ac:dyDescent="0.25">
      <c r="F1040" s="6"/>
      <c r="L1040" s="1"/>
    </row>
    <row r="1041" spans="6:12" x14ac:dyDescent="0.25">
      <c r="F1041" s="6"/>
      <c r="L1041" s="1"/>
    </row>
    <row r="1042" spans="6:12" x14ac:dyDescent="0.25">
      <c r="F1042" s="6"/>
    </row>
    <row r="1043" spans="6:12" x14ac:dyDescent="0.25">
      <c r="F1043" s="6"/>
    </row>
    <row r="1044" spans="6:12" x14ac:dyDescent="0.25">
      <c r="F1044" s="6"/>
    </row>
    <row r="1045" spans="6:12" x14ac:dyDescent="0.25">
      <c r="F1045" s="6"/>
    </row>
    <row r="1046" spans="6:12" x14ac:dyDescent="0.25">
      <c r="F1046" s="6"/>
    </row>
    <row r="1047" spans="6:12" x14ac:dyDescent="0.25">
      <c r="F1047" s="6"/>
    </row>
    <row r="1048" spans="6:12" x14ac:dyDescent="0.25">
      <c r="F1048" s="6"/>
    </row>
    <row r="1049" spans="6:12" x14ac:dyDescent="0.25">
      <c r="F1049" s="6"/>
    </row>
    <row r="1050" spans="6:12" x14ac:dyDescent="0.25">
      <c r="F1050" s="6"/>
    </row>
    <row r="1051" spans="6:12" x14ac:dyDescent="0.25">
      <c r="F1051" s="6"/>
    </row>
  </sheetData>
  <mergeCells count="2">
    <mergeCell ref="B1:I1"/>
    <mergeCell ref="G2:H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ხელშეკრულებები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2017-11-27T11:17:14Z</dcterms:modified>
</cp:coreProperties>
</file>